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62" activeTab="0"/>
  </bookViews>
  <sheets>
    <sheet name="PI - PPG" sheetId="1" r:id="rId1"/>
    <sheet name="OR - PPG" sheetId="2" r:id="rId2"/>
    <sheet name="E&amp;P - PPG" sheetId="3" r:id="rId3"/>
    <sheet name="PROD TECN" sheetId="4" r:id="rId4"/>
    <sheet name="INSERÇÃO" sheetId="5" r:id="rId5"/>
    <sheet name="QUALIS 2011-2012" sheetId="6" r:id="rId6"/>
    <sheet name="GLOSA" sheetId="7" r:id="rId7"/>
    <sheet name="REVALIDAÇÕES" sheetId="8" r:id="rId8"/>
    <sheet name="CONSULTORIA" sheetId="9" r:id="rId9"/>
  </sheets>
  <definedNames/>
  <calcPr fullCalcOnLoad="1"/>
</workbook>
</file>

<file path=xl/comments1.xml><?xml version="1.0" encoding="utf-8"?>
<comments xmlns="http://schemas.openxmlformats.org/spreadsheetml/2006/main">
  <authors>
    <author>Andre</author>
    <author>AR</author>
    <author>Andre Rodacki</author>
  </authors>
  <commentList>
    <comment ref="E2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G2" authorId="1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Inserir a meta de pontos por docente no programa</t>
        </r>
      </text>
    </comment>
    <comment ref="D23" authorId="1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D28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o número de permannetes</t>
        </r>
      </text>
    </comment>
    <comment ref="D29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Número de docentes colaboradores</t>
        </r>
      </text>
    </comment>
    <comment ref="AZ29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Produção deduzida dos artigos em co-autoria</t>
        </r>
      </text>
    </comment>
    <comment ref="AZ33" authorId="1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  <comment ref="B2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nome da IES, seguido da sigla do Estado..
UFPR/PR; UNB/DF, etc</t>
        </r>
      </text>
    </comment>
    <comment ref="A2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Insira a sigla da SUBÁREA:
EF = Educação Física
FT = Fisioterapia
FO = Fonoaudiologia
TO = Terapia Ocupacional</t>
        </r>
      </text>
    </comment>
  </commentList>
</comments>
</file>

<file path=xl/comments2.xml><?xml version="1.0" encoding="utf-8"?>
<comments xmlns="http://schemas.openxmlformats.org/spreadsheetml/2006/main">
  <authors>
    <author>Andre</author>
    <author>AR</author>
    <author>Andre Rodacki</author>
  </authors>
  <commentList>
    <comment ref="F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E25" authorId="1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G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TCC NA GRADUAÇÃO 
</t>
        </r>
      </text>
    </comment>
    <comment ref="H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IC</t>
        </r>
      </text>
    </comment>
    <comment ref="I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MESTRANDOS  SOB SUA ORIENTAÇÃO
</t>
        </r>
      </text>
    </comment>
    <comment ref="K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L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MATRICULADOS NO DOUTORADO SOB SUA ORIENTAÇÃO</t>
        </r>
      </text>
    </comment>
    <comment ref="R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DE PÓS-DOC SOB SUA ORIENTAÇÃO</t>
        </r>
      </text>
    </comment>
    <comment ref="W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MESTRANDOS EM OUTRO PPG</t>
        </r>
      </text>
    </comment>
    <comment ref="X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DOUTORANDOS EM OUTRO PPG</t>
        </r>
      </text>
    </comment>
    <comment ref="Y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POS-DOCS EM OUTRO PPG</t>
        </r>
      </text>
    </comment>
    <comment ref="AT4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I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NA GRADUAÇÃO
</t>
        </r>
      </text>
    </comment>
    <comment ref="CK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IC</t>
        </r>
      </text>
    </comment>
    <comment ref="CM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MATRICULADOS SOB SUA ORIENTAÇ!AO NO MESTRADO
</t>
        </r>
      </text>
    </comment>
    <comment ref="CP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MATRICULADOS SOB SUA ORIENTAÇÃO</t>
        </r>
      </text>
    </comment>
    <comment ref="CT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DE PÓS-DOC SOB SUA ORIENTAÇÃO</t>
        </r>
      </text>
    </comment>
    <comment ref="J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MESTRADO SOB SUA ORIENTAÇÃO NO ANO</t>
        </r>
      </text>
    </comment>
    <comment ref="Q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ESTRANGEIROS SOB SUA ORIENTAÇÃO NO ANO; INFORME OS ALUNOS REGISTRADOS EM M OU D QUE SE ENQUADRAM NESSE QUESITO.</t>
        </r>
      </text>
    </comment>
    <comment ref="S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C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DEFINIR OS NIVEIS DO CURSO
MD = MESTRADO + DOUTORADO
M = MESTRADO</t>
        </r>
      </text>
    </comment>
    <comment ref="N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T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U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rFont val="Calibri"/>
            <family val="2"/>
          </rPr>
          <t>NÚMERO DE DISCENTES COM PUBLICAÇÃO</t>
        </r>
      </text>
    </comment>
    <comment ref="V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M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DOUTORADO SOB SUA ORIENTAÇÃO QUE OCORRERAM NO ANO</t>
        </r>
      </text>
    </comment>
    <comment ref="AA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TCC NA GRADUAÇÃO 
</t>
        </r>
      </text>
    </comment>
    <comment ref="AB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IC</t>
        </r>
      </text>
    </comment>
    <comment ref="AC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MESTRANDOS  SOB SUA ORIENTAÇÃO
</t>
        </r>
      </text>
    </comment>
    <comment ref="AD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MESTRADO SOB SUA ORIENTAÇÃO NO ANO</t>
        </r>
      </text>
    </comment>
    <comment ref="AE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AF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MATRICULADOS NO DOUTORADO SOB SUA ORIENTAÇÃO</t>
        </r>
      </text>
    </comment>
    <comment ref="AG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DOUTORADO SOB SUA ORIENTAÇÃO QUE OCORRERAM NO ANO</t>
        </r>
      </text>
    </comment>
    <comment ref="AH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AK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ESTRANGEIROS SOB SUA ORIENTAÇÃO NO ANO</t>
        </r>
      </text>
    </comment>
    <comment ref="AL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DE PÓS-DOC SOB SUA ORIENTAÇÃO</t>
        </r>
      </text>
    </comment>
    <comment ref="AM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AN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AO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rFont val="Calibri"/>
            <family val="2"/>
          </rPr>
          <t>NÚMERO DE DISCENTES COM PUBLICAÇÃO</t>
        </r>
      </text>
    </comment>
    <comment ref="AP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AQ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MESTRANDOS EM OUTRO PPG</t>
        </r>
      </text>
    </comment>
    <comment ref="AR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DOUTORANDOS EM OUTRO PPG</t>
        </r>
      </text>
    </comment>
    <comment ref="AS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POS-DOCS EM OUTRO PPG</t>
        </r>
      </text>
    </comment>
    <comment ref="AU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TCC NA GRADUAÇÃO 
</t>
        </r>
      </text>
    </comment>
    <comment ref="AV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IC</t>
        </r>
      </text>
    </comment>
    <comment ref="AW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MESTRANDOS  SOB SUA ORIENTAÇÃO
</t>
        </r>
      </text>
    </comment>
    <comment ref="AX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MESTRADO SOB SUA ORIENTAÇÃO NO ANO</t>
        </r>
      </text>
    </comment>
    <comment ref="AY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AZ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MATRICULADOS NO DOUTORADO SOB SUA ORIENTAÇÃO</t>
        </r>
      </text>
    </comment>
    <comment ref="BA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DOUTORADO SOB SUA ORIENTAÇÃO QUE OCORRERAM NO ANO</t>
        </r>
      </text>
    </comment>
    <comment ref="BB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BE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ESTRANGEIROS SOB SUA ORIENTAÇÃO NO ANO</t>
        </r>
      </text>
    </comment>
    <comment ref="BF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DE PÓS-DOC SOB SUA ORIENTAÇÃO</t>
        </r>
      </text>
    </comment>
    <comment ref="BG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BH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BI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rFont val="Calibri"/>
            <family val="2"/>
          </rPr>
          <t>NÚMERO DE DISCENTES COM PUBLICAÇÃO</t>
        </r>
      </text>
    </comment>
    <comment ref="BJ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BK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MESTRANDOS EM OUTRO PPG</t>
        </r>
      </text>
    </comment>
    <comment ref="BL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DOUTORANDOS EM OUTRO PPG</t>
        </r>
      </text>
    </comment>
    <comment ref="BM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POS-DOCS EM OUTRO PPG</t>
        </r>
      </text>
    </comment>
    <comment ref="BP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TCC NA GRADUAÇÃO 
</t>
        </r>
      </text>
    </comment>
    <comment ref="BQ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ORIENTANDOS DE IC</t>
        </r>
      </text>
    </comment>
    <comment ref="BR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MESTRANDOS  SOB SUA ORIENTAÇÃO
</t>
        </r>
      </text>
    </comment>
    <comment ref="BS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MESTRADO SOB SUA ORIENTAÇÃO NO ANO</t>
        </r>
      </text>
    </comment>
    <comment ref="BT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 DOS ALUNOS SOB SUA ORIENTAÇÃO QUE DEFENDERAM NO ANO;
USE A MÉDIA DOS SEUS ALUNOS 
EX..QUATRO DEFEAS COM 24+25 +25+26 = 25 MESES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BU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MATRICULADOS NO DOUTORADO SOB SUA ORIENTAÇÃO</t>
        </r>
      </text>
    </comment>
    <comment ref="BV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DEFESAS DE DOUTORADO SOB SUA ORIENTAÇÃO QUE OCORRERAM NO ANO</t>
        </r>
      </text>
    </comment>
    <comment ref="BW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TMT (TEMPO MÉDIO DE TITULAÇÃO) DOS ALUNOS SOB SUA ORIENTAÇÃO QUE DEFENDERAM NO ANO;
INFORME APENAS O NÚMERO DE MESES
EX: TRÊS DEFESAS COM 48, 49 E 50 MESES = 49
</t>
        </r>
        <r>
          <rPr>
            <b/>
            <sz val="9"/>
            <rFont val="Calibri"/>
            <family val="2"/>
          </rPr>
          <t>QUANDO NÃO HOUVER ORIENTAÇÃO DEIXE EM BRANCO E NÃO COLOQUE ZEROS</t>
        </r>
      </text>
    </comment>
    <comment ref="BZ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ESTRANGEIROS SOB SUA ORIENTAÇÃO NO ANO</t>
        </r>
      </text>
    </comment>
    <comment ref="CA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DE PÓS-DOC SOB SUA ORIENTAÇÃO</t>
        </r>
      </text>
    </comment>
    <comment ref="CB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Mobilidade discente (considerar a realização por parte dos discentes de disciplinas em outros Programas, capacitação para determinado procedimento de pesquisa, realização de pesquisa em conjunto, etc).
INFORME A OCORRÊNCIA DE QUANTOS ALUNOS TIVERAM TAL ATIVIDADE NESSES TIPOS DE EVENTO
INFORME O NÚMERO DE ALUNOS ENVOLVIDOS E NÃO O NÚMERO DE VEZES QUE UM MESMO ALUNO REALIZOU TAL ATIVIDADE
</t>
        </r>
      </text>
    </comment>
    <comment ref="CC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ALUNOS SOB A ORIENTAÇÃO DO DOCENTE QUE TIVERAM PUBLICAÇÕES EM ARTIGOS EM PERIÓDICOS
É O NÚMERO DE DISCENTES COM PRODUÇÕES, INDEPENDENTE DA QUANTIDADE DE ARTIGOS
 </t>
        </r>
      </text>
    </comment>
    <comment ref="CD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DISCENTES SOB A ORIENTAÇÃO DO DOCENTE QUE TIVERAM PUBLICAÇÕES EM ARTIGOS EM PERIÓDICOS QUALIS SUPERIOR OU IGUAL A B1, L3 ou C3.
NOTE QUE O NÚMERO NÃO DEPENDE DO NÚMERO DE ARTIGOS, MAS APENAS O </t>
        </r>
        <r>
          <rPr>
            <b/>
            <sz val="9"/>
            <rFont val="Calibri"/>
            <family val="2"/>
          </rPr>
          <t>NÚMERO DE DISCENTES COM PUBLICAÇÃO</t>
        </r>
      </text>
    </comment>
    <comment ref="CE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NUMERO DE DISCENTES SOB A ORIENTAÇÃO DO DOCENTE QUE TIVERAM PUBLICAÇÕES  EM CONGRESSOS E SIMPÓSIOS 
NOTE QUE O NÚMERO DE PUBLICAÇÕES NÃO É CONSIDERADO, APENAS O NÚMERO DE ALUNOS QUE TIVERAM PUBLICAÇÃO.</t>
        </r>
      </text>
    </comment>
    <comment ref="CF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MESTRANDOS EM OUTRO PPG</t>
        </r>
      </text>
    </comment>
    <comment ref="CG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DOUTORANDOS EM OUTRO PPG</t>
        </r>
      </text>
    </comment>
    <comment ref="CH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POS-DOCS EM OUTRO PPG</t>
        </r>
      </text>
    </comment>
    <comment ref="A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Insira a sigla da SUBÁREA:
EF = Educação Física
FT = Fisioterapia
FO = Fonoaudiologia
TO = Terapia Ocupacional</t>
        </r>
      </text>
    </comment>
    <comment ref="B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nome da IES, seguido da sigla do Estado..
UFPR/PR; UNB/DF, etc</t>
        </r>
      </text>
    </comment>
    <comment ref="O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P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AI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AJ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BC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BD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BX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  <comment ref="BY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DOUTORADO, INDEPENTE DA ORIGEM DOS RECURSOS (CNPQ, CAPES, FAPS, ETC).</t>
        </r>
      </text>
    </comment>
    <comment ref="CS4" authorId="2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ALUNOS SOB SUA ORIENTAÇÃO QUE RECEBERAM BOLSA DE MESTRADO, INDEPENTE DA ORIGEM DOS RECURSOS (CNPQ, CAPES, FAPS, ETC).</t>
        </r>
      </text>
    </comment>
  </commentList>
</comments>
</file>

<file path=xl/comments3.xml><?xml version="1.0" encoding="utf-8"?>
<comments xmlns="http://schemas.openxmlformats.org/spreadsheetml/2006/main">
  <authors>
    <author>Andre</author>
    <author>Andre Rodacki</author>
    <author>AR</author>
  </authors>
  <commentList>
    <comment ref="E3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J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DISCIPLINAS DA PÓS-GRADUAÇÃO VINCULADAS AO DOCENTE</t>
        </r>
      </text>
    </comment>
    <comment ref="AA3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D24" authorId="2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F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 VÍNCULO NA IES
</t>
        </r>
      </text>
    </comment>
    <comment ref="G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DEDICADAS AO PPG</t>
        </r>
      </text>
    </comment>
    <comment ref="H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 ENSINO NA GRADUAÇÀO ( CARGA HORÁRIA SEMANAL) - MÉDIA ANUAL</t>
        </r>
      </text>
    </comment>
    <comment ref="I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DEDICADAS AO ENSINO NA PG (CARGA HPRÁRIA SEMANAL) MÉDIA ANUAL</t>
        </r>
      </text>
    </comment>
    <comment ref="K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LINHAS DE PESQUISA DO DOCENTE</t>
        </r>
      </text>
    </comment>
    <comment ref="L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 EM QUE O DOCENTE ATUA COMO COORDENADOR.</t>
        </r>
      </text>
    </comment>
    <comment ref="N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NO ANO DE IMPLEMENTAÇÃO.
NOTA DECLARE APENAS UMA VEZ O FINANCIAMENTO OBTIDO NO TRIÊNIO - NÃO PONTUE DUAS VEZES</t>
        </r>
      </text>
    </comment>
    <comment ref="O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SE É BOLSISTA DO CNPQ, 
NÃO = 0
PQ1 = 1
PQ2 = 2
PQ3 = 3 (OUTRO TIPO DE BOLSISTA)</t>
        </r>
      </text>
    </comment>
    <comment ref="AN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 VÍNCULO NA IES
</t>
        </r>
      </text>
    </comment>
    <comment ref="AO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DEDICADAS AO PPG</t>
        </r>
      </text>
    </comment>
    <comment ref="AP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 ENSINO NA GRADUAÇÀO ( CARGA HORÁRIA SEMANAL) - MÉDIA ANUAL</t>
        </r>
      </text>
    </comment>
    <comment ref="AQ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DEDICADAS AO ENSINO NA PG (CARGA HPRÁRIA SEMANAL) MÉDIA ANUAL</t>
        </r>
      </text>
    </comment>
    <comment ref="AR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DISCIPLINAS DA PÓS-GRADUAÇÃO VINCULADAS AO DOCENTE</t>
        </r>
      </text>
    </comment>
    <comment ref="AS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LINHAS DE PESQUISA DO DOCENTE</t>
        </r>
      </text>
    </comment>
    <comment ref="AW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E O ANO DE IMPLEMENTAÇÃO.</t>
        </r>
      </text>
    </comment>
    <comment ref="Q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 VÍNCULO NA IES
</t>
        </r>
      </text>
    </comment>
    <comment ref="R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DEDICADAS AO PPG</t>
        </r>
      </text>
    </comment>
    <comment ref="S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 ENSINO NA GRADUAÇÀO ( CARGA HORÁRIA SEMANAL) - MÉDIA ANUAL</t>
        </r>
      </text>
    </comment>
    <comment ref="T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DEDICADAS AO ENSINO NA PG (CARGA HPRÁRIA SEMANAL) MÉDIA ANUAL</t>
        </r>
      </text>
    </comment>
    <comment ref="U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DISCIPLINAS DA PÓS-GRADUAÇÃO VINCULADAS AO DOCENTE</t>
        </r>
      </text>
    </comment>
    <comment ref="V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LINHAS DE PESQUISA DO DOCENTE</t>
        </r>
      </text>
    </comment>
    <comment ref="Y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NO ANO DE IMPLEMENTAÇÃO.
NOTA DECLARE APENAS UMA VEZ O FINANCIAMENTO OBTIDO NO TRIÊNIO - NÃO PONTUE DUAS VEZES</t>
        </r>
      </text>
    </comment>
    <comment ref="AB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 VÍNCULO NA IES
</t>
        </r>
      </text>
    </comment>
    <comment ref="AC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NUMERO DE HORAS DEDICADAS AO PPG</t>
        </r>
      </text>
    </comment>
    <comment ref="AD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 ENSINO NA GRADUAÇÀO ( CARGA HORÁRIA SEMANAL) - MÉDIA ANUAL</t>
        </r>
      </text>
    </comment>
    <comment ref="AE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HORAS DEDICADAS AO ENSINO NA PG (CARGA HPRÁRIA SEMANAL) MÉDIA ANUAL</t>
        </r>
      </text>
    </comment>
    <comment ref="AF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DISCIPLINAS DA PÓS-GRADUAÇÃO VINCULADAS AO DOCENTE</t>
        </r>
      </text>
    </comment>
    <comment ref="AG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LINHAS DE PESQUISA DO DOCENTE</t>
        </r>
      </text>
    </comment>
    <comment ref="AJ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FINANCIAMENTO DE PROJETO DE PESQUISA? INFORME O MONTANTE ARRECADADO EM MILHARES (EX. CEM MIL = 100000,00
CONSIDERE APENAS O EDITAL CONCEDIDO E NÃO SUA DISTRIBUIÇÃO AO LONGO DOS ANOS, OU SEJA, APENAS O VALOR TOTAL NO ANO DE IMPLEMENTAÇÃO.
NOTA DECLARE APENAS UMA VEZ O FINANCIAMENTO OBTIDO NO TRIÊNIO - NÃO PONTUE DUAS VEZES</t>
        </r>
      </text>
    </comment>
    <comment ref="M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W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 EM QUE O DOCENTE ATUA COMO COORDENADOR.</t>
        </r>
      </text>
    </comment>
    <comment ref="X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AH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 EM QUE O DOCENTE ATUA COMO COORDENADOR.</t>
        </r>
      </text>
    </comment>
    <comment ref="AI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AT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 EM QUE O DOCENTE ATUA COMO COORDENADOR.</t>
        </r>
      </text>
    </comment>
    <comment ref="AU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PROJETOS EM QUE ATUA COMO COLABORADOR E/OU PARTICIPANTE (EXCLUEM-SE AQUI OS PROJETOS EM QUE ATUA COMO COORDENADOR)</t>
        </r>
      </text>
    </comment>
    <comment ref="Z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SE É BOLSISTA DO CNPQ, 
NÃO = 0
PQ1 = 1
PQ2 = 2
PQ3 = 3 (OUTRO TIPO DE BOLSISTA)</t>
        </r>
      </text>
    </comment>
    <comment ref="AK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SE É BOLSISTA DO CNPQ, 
NÃO = 0
PQ1 = 1
PQ2 = 2
PQ3 = 3 (OUTRO TIPO DE BOLSISTA)</t>
        </r>
      </text>
    </comment>
    <comment ref="AX3" authorId="1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SE É BOLSISTA DO CNPQ, 
NÃO = 0
PQ1 = 1
PQ2 = 2
PQ3 = 3 (OUTRO TIPO DE BOLSISTA)</t>
        </r>
      </text>
    </comment>
  </commentList>
</comments>
</file>

<file path=xl/comments4.xml><?xml version="1.0" encoding="utf-8"?>
<comments xmlns="http://schemas.openxmlformats.org/spreadsheetml/2006/main">
  <authors>
    <author>Andre Rodacki</author>
  </authors>
  <commentList>
    <comment ref="E1" authorId="0">
      <text>
        <r>
          <rPr>
            <b/>
            <sz val="9"/>
            <rFont val="Calibri"/>
            <family val="2"/>
          </rPr>
          <t xml:space="preserve">Andre Rodacki:
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>Grupo 1 - Cada produção deve ser informada por evento no triênio
Cartas, Mapas e Similares</t>
        </r>
        <r>
          <rPr>
            <sz val="9"/>
            <rFont val="Calibri"/>
            <family val="2"/>
          </rPr>
          <t xml:space="preserve"> (Aerofotograma, Carta, Fotograma, Mapa e outros documentos de reconhecida relevância técnica onde um ponto de vista, opinião ou parecer tenha sido estabelecido e divulgado à toda comunidade acadêmica).
</t>
        </r>
        <r>
          <rPr>
            <b/>
            <sz val="9"/>
            <rFont val="Calibri"/>
            <family val="2"/>
          </rPr>
          <t xml:space="preserve">Artes Cênicas </t>
        </r>
        <r>
          <rPr>
            <sz val="9"/>
            <rFont val="Calibri"/>
            <family val="2"/>
          </rPr>
          <t xml:space="preserve">(Criação de material ou obra Audiovisual, Circense, Coreográfica, Operística, Performática, Radialística ou Teatral, apresentada ao público por qualquer meio de vinculação e com ampla divulgação).
</t>
        </r>
        <r>
          <rPr>
            <b/>
            <sz val="9"/>
            <rFont val="Calibri"/>
            <family val="2"/>
          </rPr>
          <t xml:space="preserve">Manutenção de obra artística </t>
        </r>
        <r>
          <rPr>
            <sz val="9"/>
            <rFont val="Calibri"/>
            <family val="2"/>
          </rPr>
          <t xml:space="preserve">(Manutenção de obras artísticas, tais como Arquiteturas, Desenhos, Esculturas, Fotografias, Gravuras e Pinturas).
</t>
        </r>
        <r>
          <rPr>
            <b/>
            <sz val="9"/>
            <rFont val="Calibri"/>
            <family val="2"/>
          </rPr>
          <t>Música</t>
        </r>
        <r>
          <rPr>
            <sz val="9"/>
            <rFont val="Calibri"/>
            <family val="2"/>
          </rPr>
          <t xml:space="preserve"> (Criação, adaptação e interpretação de Obras Musicais, Arranjos, criações Audiovisuais e Composições. Publicação de Partitura, Registro Fonográfico e de Trilha Sonora).
</t>
        </r>
        <r>
          <rPr>
            <b/>
            <sz val="9"/>
            <rFont val="Calibri"/>
            <family val="2"/>
          </rPr>
          <t xml:space="preserve">Radio ou TV </t>
        </r>
        <r>
          <rPr>
            <sz val="9"/>
            <rFont val="Calibri"/>
            <family val="2"/>
          </rPr>
          <t>(Concessão de Entrevistas, participação de Mesas redondas, atuação como comentaristas ou outras atividades que caracterizem parecer de especialista em programas de radio e televisão).</t>
        </r>
      </text>
    </comment>
    <comment ref="J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 xml:space="preserve">Grupo 2 – Cada produção técnica nesse grupo serão avaliadas com 1 ponto
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 xml:space="preserve">Cursos </t>
        </r>
        <r>
          <rPr>
            <sz val="9"/>
            <rFont val="Calibri"/>
            <family val="2"/>
          </rPr>
          <t xml:space="preserve">(Cursos ministrados em eventos).
</t>
        </r>
        <r>
          <rPr>
            <b/>
            <sz val="9"/>
            <rFont val="Calibri"/>
            <family val="2"/>
          </rPr>
          <t xml:space="preserve"> Organização de evento</t>
        </r>
        <r>
          <rPr>
            <sz val="9"/>
            <rFont val="Calibri"/>
            <family val="2"/>
          </rPr>
          <t xml:space="preserve"> (Organização e gerenciamento de eventos. Atividades de Curadoria e Montagem de eventos).
</t>
        </r>
        <r>
          <rPr>
            <b/>
            <sz val="9"/>
            <rFont val="Calibri"/>
            <family val="2"/>
          </rPr>
          <t xml:space="preserve"> Palestra/Conferência em Evento </t>
        </r>
        <r>
          <rPr>
            <sz val="9"/>
            <rFont val="Calibri"/>
            <family val="2"/>
          </rPr>
          <t xml:space="preserve">(Palestras ou Conferências ministradas em eventos de abrangência nacional ou internacional).
</t>
        </r>
        <r>
          <rPr>
            <b/>
            <sz val="9"/>
            <rFont val="Calibri"/>
            <family val="2"/>
          </rPr>
          <t>Trabalhos em Eventos</t>
        </r>
        <r>
          <rPr>
            <sz val="9"/>
            <rFont val="Calibri"/>
            <family val="2"/>
          </rPr>
          <t xml:space="preserve"> (Trabalhos apresentados em eventos científicos nacionais e internacionais).</t>
        </r>
      </text>
    </comment>
    <comment ref="N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>Grupo 3 – Cada produção técnica nesse grupo serão avaliadas com 5 pontos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 xml:space="preserve">Participação em comissões e comitês técnico-científicos </t>
        </r>
        <r>
          <rPr>
            <sz val="9"/>
            <rFont val="Calibri"/>
            <family val="2"/>
          </rPr>
          <t>dos órgãos de fomento e ou consultorias e assessorias no âmbito da política e/ou gerenciamento da área.
CAPES, CNPq, FAPs, MEC, Ministério Esporte, COB, COI, Confederações, Federações Esportivas, Conselhos de Classe, Comitê de Ética, Comitês de Iniciação Científica Institucionais, Consultoria a Empresa Privada.</t>
        </r>
      </text>
    </comment>
    <comment ref="O1" authorId="0">
      <text>
        <r>
          <rPr>
            <b/>
            <sz val="9"/>
            <rFont val="Calibri"/>
            <family val="2"/>
          </rPr>
          <t>Andre Rodacki:
Grupo 4 – Cada produção técnica nesse grupo serão avaliadas com 8 e 5 pontos, respectivamente
Editoria</t>
        </r>
        <r>
          <rPr>
            <sz val="9"/>
            <rFont val="Calibri"/>
            <family val="2"/>
          </rPr>
          <t xml:space="preserve"> (Gerenciamento da produção de Anais, Catálogos, Coletâneas, Enciclopédias, Livros e Periódicos na área, Corpo Editorial de Periódicos). - </t>
        </r>
        <r>
          <rPr>
            <b/>
            <sz val="9"/>
            <rFont val="Calibri"/>
            <family val="2"/>
          </rPr>
          <t>8 pontos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>Serviços Técnicos</t>
        </r>
        <r>
          <rPr>
            <sz val="9"/>
            <rFont val="Calibri"/>
            <family val="2"/>
          </rPr>
          <t xml:space="preserve"> (Pareceres para periódicos e Editoras para a Publicação de Livros, Manuais e Coletâneas). - </t>
        </r>
        <r>
          <rPr>
            <b/>
            <sz val="9"/>
            <rFont val="Calibri"/>
            <family val="2"/>
          </rPr>
          <t>5 pontos</t>
        </r>
      </text>
    </comment>
    <comment ref="Q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 xml:space="preserve">Grupo 5 </t>
        </r>
        <r>
          <rPr>
            <sz val="9"/>
            <rFont val="Calibri"/>
            <family val="2"/>
          </rPr>
          <t xml:space="preserve">
</t>
        </r>
        <r>
          <rPr>
            <b/>
            <sz val="9"/>
            <rFont val="Calibri"/>
            <family val="2"/>
          </rPr>
          <t>Registro definitivo ou provisório no INPI</t>
        </r>
        <r>
          <rPr>
            <sz val="9"/>
            <rFont val="Calibri"/>
            <family val="2"/>
          </rPr>
          <t xml:space="preserve"> de produto relacionado ao Desenvolvimento de aplicativo Computacional ou Multimídia orientado para instrução ou intervenção afim a área.
</t>
        </r>
        <r>
          <rPr>
            <b/>
            <sz val="9"/>
            <rFont val="Calibri"/>
            <family val="2"/>
          </rPr>
          <t xml:space="preserve">Registro definitivo ou provisório no INPI de produto relacionado ao Desenvolvimento de Softwares </t>
        </r>
        <r>
          <rPr>
            <sz val="9"/>
            <rFont val="Calibri"/>
            <family val="2"/>
          </rPr>
          <t xml:space="preserve">relacionados à área orientados para instrução, intervenção, avaliação, estatística, etc., afim a área.
</t>
        </r>
        <r>
          <rPr>
            <b/>
            <sz val="9"/>
            <rFont val="Calibri"/>
            <family val="2"/>
          </rPr>
          <t xml:space="preserve">Registro definitivo ou provisório no INPI de produto relacionado ao desenvolvimento de Material Didático </t>
        </r>
        <r>
          <rPr>
            <sz val="9"/>
            <rFont val="Calibri"/>
            <family val="2"/>
          </rPr>
          <t xml:space="preserve">e Instrucional de pequena ou grande circulação, orientado à fundamentação dos cursos de formação desenvolvidos ou sua divulgação. Produto afim a área.
</t>
        </r>
        <r>
          <rPr>
            <b/>
            <sz val="9"/>
            <rFont val="Calibri"/>
            <family val="2"/>
          </rPr>
          <t xml:space="preserve">Registro definitivo ou provisório no INPI de produto  relacionado ao desenvolvimento de técnica, </t>
        </r>
        <r>
          <rPr>
            <sz val="9"/>
            <rFont val="Calibri"/>
            <family val="2"/>
          </rPr>
          <t xml:space="preserve">método  de treinamento, procedimento experimental etc,  afim a área.
</t>
        </r>
        <r>
          <rPr>
            <b/>
            <sz val="9"/>
            <rFont val="Calibri"/>
            <family val="2"/>
          </rPr>
          <t xml:space="preserve">Registro definitivo ou provisório no INPI de produto relacionado ao Desenvolvimento de Aparelhos, </t>
        </r>
        <r>
          <rPr>
            <sz val="9"/>
            <rFont val="Calibri"/>
            <family val="2"/>
          </rPr>
          <t xml:space="preserve">Instrumentos, Equipamentos e Fármacos etc,  afim a área. </t>
        </r>
      </text>
    </comment>
    <comment ref="AL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Esses valores corespondem aos quartis 
P1 = 1o. Quartil (25%)
P2 = 2o. Quartil (50% - mediana)
P3 = 3o. Quartil (75%)
Existe necessidade de se colocar esses valores a partir de indicativos da área.</t>
        </r>
      </text>
    </comment>
    <comment ref="E2" authorId="0">
      <text>
        <r>
          <rPr>
            <b/>
            <sz val="9"/>
            <rFont val="Calibri"/>
            <family val="2"/>
          </rPr>
          <t xml:space="preserve">Andre Rodacki:
</t>
        </r>
        <r>
          <rPr>
            <sz val="9"/>
            <rFont val="Calibri"/>
            <family val="2"/>
          </rPr>
          <t xml:space="preserve">
</t>
        </r>
        <r>
          <rPr>
            <sz val="9"/>
            <color indexed="10"/>
            <rFont val="Calibri"/>
            <family val="2"/>
          </rPr>
          <t>INFORMAR O NÚMERO DE ATIVIDADES NO TRIÊNIO</t>
        </r>
      </text>
    </comment>
    <comment ref="F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</t>
        </r>
        <r>
          <rPr>
            <sz val="9"/>
            <color indexed="10"/>
            <rFont val="Calibri"/>
            <family val="2"/>
          </rPr>
          <t>INFORMAR O NÚMERO DE ATIVIDADES NO TRIÊNIO</t>
        </r>
      </text>
    </comment>
    <comment ref="N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</t>
        </r>
        <r>
          <rPr>
            <sz val="9"/>
            <color indexed="10"/>
            <rFont val="Calibri"/>
            <family val="2"/>
          </rPr>
          <t xml:space="preserve">Informar o número de participações no triênio, independente do número de consultorias prestadas à mesma agência/órgão.
Conatbiliza-se o número de órgãos atendidos por ano ao longo do triênio.
Ex 1.. 10 pareceres ao CNPq em 2010, 5 em 2011 = 2 (2 eventos); 
Ex 2. 2 pareceres à CAPES em 2009; 1 parecer em 2010 e 2 pareceres em 2012 = 3 (3 eventos).
Ex. 3. participação na seleção brasileira de voleibol em 2010, 2011 e 2012; 5 pareceres para capes 2009; 1 parecer FAPESP em 2012 = 5 (eventos).
</t>
        </r>
      </text>
    </comment>
    <comment ref="O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Inserir o número de eventos ocorridos ao longo do triênio.
Ex1 - Editor da Revista XXX em 2010 e 2011 = 2 eventos
Ex 2 - Corpo Editorial da Revista YYY ao longo de todo o triênio (2010, 2011 e 2012); Editor da Revista ZZZ emm 2012 = 4 eventos</t>
        </r>
      </text>
    </comment>
    <comment ref="P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Informar o número de revistas em que atua como parecerista e que emitiu mais de 3 pareceres num mesmo ano. O número de anos deve ser nformado como um evento, não importando se o número de pareceres for superior a 3.
Ex. Parecer na Revista XXX em 2010 e 2011; Parecer na Revista ZZ em 2012; Parecer em Revista YY em 2010, 2011 e 2012 = 6 eventos.
Ex. Parecer na Revista XXX em 2012 = 1 evento
Ex. Parecer na Revista XX em 2012 e na Revista YY em 2010 e 2012 = 3 eventos</t>
        </r>
      </text>
    </comment>
  </commentList>
</comments>
</file>

<file path=xl/comments5.xml><?xml version="1.0" encoding="utf-8"?>
<comments xmlns="http://schemas.openxmlformats.org/spreadsheetml/2006/main">
  <authors>
    <author>Andre Rodacki</author>
  </authors>
  <commentList>
    <comment ref="C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O PPG possui home page?
SIM
NÃo
</t>
        </r>
      </text>
    </comment>
    <comment ref="D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Existem informações sobre o perfil, áreas de atuação e projetos dos docentes </t>
        </r>
      </text>
    </comment>
    <comment ref="E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As informações sobre os processos seletivos estão claramente explicitadsa?</t>
        </r>
      </text>
    </comment>
    <comment ref="F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A estrutura curricular, incluindo ementas e bibliografia está dispon;ivel no site?</t>
        </r>
      </text>
    </comment>
    <comment ref="G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Existe detalhamento dos financiamentos recebidos pelo PPG?</t>
        </r>
      </text>
    </comment>
    <comment ref="H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Os critérios do Mestrado e Doutorado (resoluções, normas, rotinas, etc) estão bem explícitas?</t>
        </r>
      </text>
    </comment>
    <comment ref="I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EXISTE REFERENCIA AOS EDITAIS DO PROGRAMA (BOLSAS, BOLSAS IC, CHAMADAS).</t>
        </r>
      </text>
    </comment>
    <comment ref="J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EXISTE INFORMAÇÃO SOBRE AÇÕES DE MINTER NO TRIÊNIO
</t>
        </r>
      </text>
    </comment>
    <comment ref="K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EXISTEM PROJETOS EM EXECUÇÃO DE DINTER NO TRIÊNIO
</t>
        </r>
      </text>
    </comment>
    <comment ref="L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EXISTEM AÇÕES DE PROCAD SENDO DESENVOLVIDAS PELO PPG NO TRIÊNIO</t>
        </r>
      </text>
    </comment>
    <comment ref="C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PREENCHER EM RELAÇÃO AO ESTADO ATUAL DAS INFORMAÇÕES QUANTO AO SITE; 
USE APENAS AS SEGUINTES FORMAS DE INFORMAR OS DADOS EM TODOS OS QUESITOS DO PPG.
SIM = SIM
NÃO = NÃO </t>
        </r>
      </text>
    </comment>
    <comment ref="M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egressos formado nos últimos 6 anos (2007 em diante - dois triênios) que ocupam em cargos de direção, coordenação, chefia ou supervisão. 
Informe apenas a quantidade em números</t>
        </r>
      </text>
    </comment>
    <comment ref="N3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número de egressos formados desde 2007 (dois últimos triênio que possuem atuação no ensino superior e/ou tecnológico (IES e IFETS).
Informe apenas a quantidade em números</t>
        </r>
      </text>
    </comment>
  </commentList>
</comments>
</file>

<file path=xl/comments6.xml><?xml version="1.0" encoding="utf-8"?>
<comments xmlns="http://schemas.openxmlformats.org/spreadsheetml/2006/main">
  <authors>
    <author>Andre Rodacki</author>
  </authors>
  <commentList>
    <comment ref="D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ISSN</t>
        </r>
      </text>
    </comment>
    <comment ref="E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TÍTULO COMPLETO DA OBRA - NÃO USE ABREVIAÇÕES</t>
        </r>
      </text>
    </comment>
    <comment ref="F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A QUANTIDADE DE ITENS DO PPG
</t>
        </r>
      </text>
    </comment>
    <comment ref="G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FATOR DE IMPACTO</t>
        </r>
      </text>
    </comment>
    <comment ref="I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A INDEXAÇÃO QUANDO PERTINENTE:
LATINDEX
SCIELO
MEDLINE
ETC</t>
        </r>
      </text>
    </comment>
    <comment ref="J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CLASSIFICAÇÃO SUGERIDA A DO PERIÓDICO COM BASE NOS CRITÉRIOS QUALIS DA ÁREA 21</t>
        </r>
      </text>
    </comment>
    <comment ref="H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SJR atual (quando aplicável)</t>
        </r>
      </text>
    </comment>
  </commentList>
</comments>
</file>

<file path=xl/comments7.xml><?xml version="1.0" encoding="utf-8"?>
<comments xmlns="http://schemas.openxmlformats.org/spreadsheetml/2006/main">
  <authors>
    <author>Andre Rodacki</author>
  </authors>
  <commentList>
    <comment ref="F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ISSN</t>
        </r>
      </text>
    </comment>
    <comment ref="G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TÍTULO COMPLETO DA OBRA - NÃO USE ABREVIAÇÕES</t>
        </r>
      </text>
    </comment>
    <comment ref="H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TÍTULO COMPLETO DA OBRA</t>
        </r>
      </text>
    </comment>
    <comment ref="I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FATOR DE IMPACTO</t>
        </r>
      </text>
    </comment>
    <comment ref="K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A INDEXAÇÃO QUANDO PERTINENTE:
LATINDEX
SCIELO
MEDLINE
ETC</t>
        </r>
      </text>
    </comment>
    <comment ref="L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CLASSIFICAÇÃO SUGIRA A DO PERIÓDICO COM BASE NOS CRITÉRIOS QUALIS DA ÁREA 21</t>
        </r>
      </text>
    </comment>
    <comment ref="D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ESPECIFICAR O ANO DA PRODUÇÃ0</t>
        </r>
      </text>
    </comment>
    <comment ref="J4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SJR (QUANDO APLICÁVEL)</t>
        </r>
      </text>
    </comment>
  </commentList>
</comments>
</file>

<file path=xl/comments8.xml><?xml version="1.0" encoding="utf-8"?>
<comments xmlns="http://schemas.openxmlformats.org/spreadsheetml/2006/main">
  <authors>
    <author>Andre Rodacki</author>
  </authors>
  <commentList>
    <comment ref="D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Inserir o nome do solicitante (MESTRADO)</t>
        </r>
      </text>
    </comment>
    <comment ref="E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Inserir o nome do Solicitante (DOUTORADO)
</t>
        </r>
      </text>
    </comment>
    <comment ref="F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nome da IES do exterior
</t>
        </r>
      </text>
    </comment>
    <comment ref="G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País da IES do Exterior</t>
        </r>
      </text>
    </comment>
    <comment ref="H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a posição do PPG/IES em relação ao pedido:
D = DEFERIDO
I = INDEFERIDO</t>
        </r>
      </text>
    </comment>
    <comment ref="I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Inserir o nome do solicitante (MESTRADO)</t>
        </r>
      </text>
    </comment>
    <comment ref="J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Inserir o nome do Solicitante (DOUTORADO)
</t>
        </r>
      </text>
    </comment>
    <comment ref="K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nome da IES do exterior
</t>
        </r>
      </text>
    </comment>
    <comment ref="L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País da IES do Exterior</t>
        </r>
      </text>
    </comment>
    <comment ref="M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a posição do PPG/IES em relação ao pedido:
D = DEFERIDO
I = INDEFERIDO</t>
        </r>
      </text>
    </comment>
    <comment ref="N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Inserir o nome do solicitante (MESTRADO)</t>
        </r>
      </text>
    </comment>
    <comment ref="O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Inserir o nome do Solicitante (DOUTORADO)
</t>
        </r>
      </text>
    </comment>
    <comment ref="P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nome da IES do exterior
</t>
        </r>
      </text>
    </comment>
    <comment ref="Q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o País da IES do Exterior</t>
        </r>
      </text>
    </comment>
    <comment ref="R2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a posição do PPG/IES em relação ao pedido:
D = DEFERIDO
I = INDEFERIDO</t>
        </r>
      </text>
    </comment>
  </commentList>
</comments>
</file>

<file path=xl/comments9.xml><?xml version="1.0" encoding="utf-8"?>
<comments xmlns="http://schemas.openxmlformats.org/spreadsheetml/2006/main">
  <authors>
    <author>Andre Rodacki</author>
  </authors>
  <commentList>
    <comment ref="E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APENAS NUMEROS - SEM TRAÇO NO FINAL
</t>
        </r>
      </text>
    </comment>
    <comment ref="H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Aqui vai a sub-área bde atuação:
EF = EDUCAÇÃO FÍSICA
FT = FISIOTERAPIA
FO = FONOAUDIOLOGIA
TO = TERAPIA OCUPACIONAL
</t>
        </r>
        <r>
          <rPr>
            <b/>
            <sz val="9"/>
            <rFont val="Calibri"/>
            <family val="2"/>
          </rPr>
          <t xml:space="preserve">
COLOQUE APENAS UMA</t>
        </r>
        <r>
          <rPr>
            <sz val="9"/>
            <rFont val="Calibri"/>
            <family val="2"/>
          </rPr>
          <t xml:space="preserve">
</t>
        </r>
      </text>
    </comment>
    <comment ref="I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COLOQUE A PRIMEIRA ESPECIALIDADE:
EX:
BIOMECÂNICA
MOTRICIDADE ORAL
ORTOPEDIA
ERGONOMIA
</t>
        </r>
        <r>
          <rPr>
            <b/>
            <sz val="9"/>
            <rFont val="Calibri"/>
            <family val="2"/>
          </rPr>
          <t>APENAS UMA ESPECIALIDADE</t>
        </r>
      </text>
    </comment>
    <comment ref="G1" authorId="0">
      <text>
        <r>
          <rPr>
            <b/>
            <sz val="9"/>
            <rFont val="Calibri"/>
            <family val="2"/>
          </rPr>
          <t>Andre Rodacki:</t>
        </r>
        <r>
          <rPr>
            <sz val="9"/>
            <rFont val="Calibri"/>
            <family val="2"/>
          </rPr>
          <t xml:space="preserve">
INFORME E-MAIL ALTERNATIVO (FACULTATIVO)</t>
        </r>
      </text>
    </comment>
  </commentList>
</comments>
</file>

<file path=xl/sharedStrings.xml><?xml version="1.0" encoding="utf-8"?>
<sst xmlns="http://schemas.openxmlformats.org/spreadsheetml/2006/main" count="942" uniqueCount="403">
  <si>
    <t>TOTAL TRIENAL</t>
  </si>
  <si>
    <t>CONTRIB</t>
  </si>
  <si>
    <t>DOCENTE</t>
  </si>
  <si>
    <t>TIPO</t>
  </si>
  <si>
    <t>A1</t>
  </si>
  <si>
    <t>A2</t>
  </si>
  <si>
    <t>B1</t>
  </si>
  <si>
    <t>B2</t>
  </si>
  <si>
    <t>B3</t>
  </si>
  <si>
    <t>B4</t>
  </si>
  <si>
    <t>B5</t>
  </si>
  <si>
    <t>L4</t>
  </si>
  <si>
    <t>L3</t>
  </si>
  <si>
    <t>L2</t>
  </si>
  <si>
    <t>L1</t>
  </si>
  <si>
    <t>C4</t>
  </si>
  <si>
    <t>C3</t>
  </si>
  <si>
    <t>C2</t>
  </si>
  <si>
    <t>C1</t>
  </si>
  <si>
    <t>A1+A2</t>
  </si>
  <si>
    <t>A1+A2+B1</t>
  </si>
  <si>
    <t>A1 a B2</t>
  </si>
  <si>
    <t>L4+L3</t>
  </si>
  <si>
    <t>LI</t>
  </si>
  <si>
    <t>C4+C3</t>
  </si>
  <si>
    <t>ARTIGOS</t>
  </si>
  <si>
    <t>Trava B4 (3)</t>
  </si>
  <si>
    <t>Trava B5 (3)</t>
  </si>
  <si>
    <t>LI VROS</t>
  </si>
  <si>
    <t>CAPS</t>
  </si>
  <si>
    <t>Total</t>
  </si>
  <si>
    <t>PROD</t>
  </si>
  <si>
    <t>P</t>
  </si>
  <si>
    <t>DEDUÇÕES</t>
  </si>
  <si>
    <t>D</t>
  </si>
  <si>
    <t>T</t>
  </si>
  <si>
    <t>AJ</t>
  </si>
  <si>
    <t>RESUMO</t>
  </si>
  <si>
    <t>PERCENTIS</t>
  </si>
  <si>
    <t>MED</t>
  </si>
  <si>
    <t>PRODUÇÃO DO PROGRAMA</t>
  </si>
  <si>
    <t>QUANTIDADE</t>
  </si>
  <si>
    <t>Permanentes</t>
  </si>
  <si>
    <t>TOTAL</t>
  </si>
  <si>
    <t>Colaboradores</t>
  </si>
  <si>
    <t>REAL</t>
  </si>
  <si>
    <t>LIVROS</t>
  </si>
  <si>
    <t>Visitantes</t>
  </si>
  <si>
    <t>PONTOS</t>
  </si>
  <si>
    <t>CAPITULOS</t>
  </si>
  <si>
    <t>SOMA</t>
  </si>
  <si>
    <t>MEDIA</t>
  </si>
  <si>
    <t>1 QUARTIL</t>
  </si>
  <si>
    <t>PROGRAMA</t>
  </si>
  <si>
    <t>MEDIANA</t>
  </si>
  <si>
    <t>3 QUARTIL</t>
  </si>
  <si>
    <t>MAX</t>
  </si>
  <si>
    <t>PRODUÇÃO DOS DOCENTES</t>
  </si>
  <si>
    <t>ATINGEM</t>
  </si>
  <si>
    <t>% ATINGEM</t>
  </si>
  <si>
    <t>CONCEITO 3</t>
  </si>
  <si>
    <t>CONCEITO 4</t>
  </si>
  <si>
    <t>CONCEITO 5</t>
  </si>
  <si>
    <t>QUALITATIVO POR ESTRATOS</t>
  </si>
  <si>
    <t>QUANT</t>
  </si>
  <si>
    <t>PERCENT</t>
  </si>
  <si>
    <t>A1+A2+B1+B2</t>
  </si>
  <si>
    <t>2X</t>
  </si>
  <si>
    <t>GRAD</t>
  </si>
  <si>
    <t>IC</t>
  </si>
  <si>
    <t>POS-DOC</t>
  </si>
  <si>
    <t>NO PPG DA ÁREA 21</t>
  </si>
  <si>
    <t>TMT (M)</t>
  </si>
  <si>
    <t>TMT (D)</t>
  </si>
  <si>
    <t>ORIENTAÇÃO</t>
  </si>
  <si>
    <t>HORAS IES</t>
  </si>
  <si>
    <t>ATUAÇÃO EM ENSINO E PESQUISA</t>
  </si>
  <si>
    <t>HORAS PPG</t>
  </si>
  <si>
    <t>ENSINO G</t>
  </si>
  <si>
    <t>ENSINO PG</t>
  </si>
  <si>
    <t>DISCIPLINAS PG</t>
  </si>
  <si>
    <t># LINHAS</t>
  </si>
  <si>
    <t># FINANC</t>
  </si>
  <si>
    <t>PQ</t>
  </si>
  <si>
    <t>1x</t>
  </si>
  <si>
    <t>TRIÊNIO</t>
  </si>
  <si>
    <t>TOTAIS</t>
  </si>
  <si>
    <t>TCC</t>
  </si>
  <si>
    <t>PUBLICAÇÃO DISCENTE</t>
  </si>
  <si>
    <t>Revalidação (M)</t>
  </si>
  <si>
    <t>Revalidação (D)</t>
  </si>
  <si>
    <t># DEF (M)</t>
  </si>
  <si>
    <t># DEF (D)</t>
  </si>
  <si>
    <t># ESTRANG</t>
  </si>
  <si>
    <t>ISSN</t>
  </si>
  <si>
    <t>TÍTULO DO PERIÓDICO</t>
  </si>
  <si>
    <t>CLASSIFICAÇÃO</t>
  </si>
  <si>
    <t>FI</t>
  </si>
  <si>
    <t>INDEXAÇÃO</t>
  </si>
  <si>
    <t>VISIBILIDADE</t>
  </si>
  <si>
    <t>HOME PAGE</t>
  </si>
  <si>
    <t>DOCENTES</t>
  </si>
  <si>
    <t>PROC SEL</t>
  </si>
  <si>
    <t>DISCIPLINAS</t>
  </si>
  <si>
    <t>FINANCIAMENTO</t>
  </si>
  <si>
    <t>EDITAIS</t>
  </si>
  <si>
    <t>COLABORAÇÕES</t>
  </si>
  <si>
    <t>MINTER</t>
  </si>
  <si>
    <t>DINTER</t>
  </si>
  <si>
    <t>PROCAD</t>
  </si>
  <si>
    <t>IES Exterior</t>
  </si>
  <si>
    <t>País</t>
  </si>
  <si>
    <t>Situção</t>
  </si>
  <si>
    <t>CPF</t>
  </si>
  <si>
    <t>ÁREA DE ATUAÇÃO</t>
  </si>
  <si>
    <t>E-MAIL</t>
  </si>
  <si>
    <t>Cartas, Mapas e Similares</t>
  </si>
  <si>
    <t>Cursos</t>
  </si>
  <si>
    <t>Editoria</t>
  </si>
  <si>
    <t>Música</t>
  </si>
  <si>
    <t xml:space="preserve">Precisamos definir o que significam tais tarefas, ou seja, operacionalmente quando se pode caracterizar um desses elementos. </t>
  </si>
  <si>
    <t>Por exemplo, e o que é uma organização de evento? Participação na comissão, presidente..</t>
  </si>
  <si>
    <t xml:space="preserve">Outro exemplo.. O que significa Palestra / conferência? Isso relaciona-se apenas com questões de produtos intelectuais? </t>
  </si>
  <si>
    <t>Mais um.. Como podemos valorizar a consultoria técnica e quais itens serão considerados nisso? Pergunto porque pareceres em revistas devem ser indicados pela área como algo necessário e relevante</t>
  </si>
  <si>
    <t>Devemos colocar um pequeno texto na ficha que pode ser também inserido aqui para explicar aos que preenchem a ficha…</t>
  </si>
  <si>
    <t>O que chamaremos de material didático? Isso pdeo ser desde slides até cadernos impressos… um definiçào é necessária. Aceitamos tudo?</t>
  </si>
  <si>
    <t>ARTIGOS &gt;B1, L3, C3</t>
  </si>
  <si>
    <t>NIVEL</t>
  </si>
  <si>
    <t>MD</t>
  </si>
  <si>
    <t>MEST</t>
  </si>
  <si>
    <t>DOUT</t>
  </si>
  <si>
    <t>DOU</t>
  </si>
  <si>
    <t>CONGR</t>
  </si>
  <si>
    <t>MOBIL</t>
  </si>
  <si>
    <t>OUTRO PPG</t>
  </si>
  <si>
    <t>NÃO PREENCHER OU MODIFICAR A PARTIR DAQUI</t>
  </si>
  <si>
    <t xml:space="preserve">NÃO PREENCHER OU MODIFICAR A PARTIR DAQUI
</t>
  </si>
  <si>
    <t>NUM</t>
  </si>
  <si>
    <t>TGRAD</t>
  </si>
  <si>
    <t>TIC</t>
  </si>
  <si>
    <t>TMES</t>
  </si>
  <si>
    <t>TDOU</t>
  </si>
  <si>
    <t>TPOSD</t>
  </si>
  <si>
    <t>#DEFM</t>
  </si>
  <si>
    <t>#DEFD</t>
  </si>
  <si>
    <t>ART&gt;B1</t>
  </si>
  <si>
    <t>ESPECIALIDADE</t>
  </si>
  <si>
    <t>GRUPO I</t>
  </si>
  <si>
    <t>Artes Cênicas</t>
  </si>
  <si>
    <t>Rádio e TV</t>
  </si>
  <si>
    <t>GRUPO II</t>
  </si>
  <si>
    <t>GRUPO III</t>
  </si>
  <si>
    <t>GRUPO IV</t>
  </si>
  <si>
    <t>GRUPO V</t>
  </si>
  <si>
    <t>MED AREA</t>
  </si>
  <si>
    <t>P1</t>
  </si>
  <si>
    <t>P2</t>
  </si>
  <si>
    <t>P3</t>
  </si>
  <si>
    <t>M&gt;Q2</t>
  </si>
  <si>
    <t>M&gt;Q3</t>
  </si>
  <si>
    <t>M&gt;Q1</t>
  </si>
  <si>
    <t>NÃO</t>
  </si>
  <si>
    <t>PROP SIM</t>
  </si>
  <si>
    <t>CONSIDERAÇÕES</t>
  </si>
  <si>
    <t>AQUI TEM AS SOMAS E MULTIPLICAÇÃO PELOS PESOS SUGERIDOS PARA CADA GRUPO</t>
  </si>
  <si>
    <t>AQUI FORAM INSERIDAS AS TRAVAS, CONFORME SUGERIDO</t>
  </si>
  <si>
    <t>NÃO SIGNIFICA O NÚMERO DE DOCENTES QUE NÃO ATINGE O CRITÉRIO</t>
  </si>
  <si>
    <t>PROP SIM REPRESENTA A PROPORÇÃO DE DOCENTES QUE ATINGE O CRITÉRIO DA COLUNA EM RELAÇÃO AO NUMERO DE ANOS COMO PERMANENTE NO PPG</t>
  </si>
  <si>
    <t>A IDEIA FOI USAR P1, P2, E P3 QUE SAO OS PERCENTIS 25(P1), 50 (P2 = MEDIANA) E 75 (P3); NOTE QUE OS VALORES DE AJ PERCISAM SER ALIMENTADOS PELOS PERCENTIS DA ÁREA (P1 A P3)</t>
  </si>
  <si>
    <t>COPIA O NUMERO DE ANOS QUE O DOCENTE ATUOU COMO PERMANENTE</t>
  </si>
  <si>
    <t>DÁ PARA DISCUTIR ESSES DADOS, MAS ACHO QUE SÓ DEPOIS DE SIMULAR É QUE DÁ PARA SABER SE ESTÃO ADEQUADOS..</t>
  </si>
  <si>
    <t>Manut Obra</t>
  </si>
  <si>
    <t xml:space="preserve">Serviços </t>
  </si>
  <si>
    <t>Técnica, método</t>
  </si>
  <si>
    <t>Material Didático</t>
  </si>
  <si>
    <t>Softwares</t>
  </si>
  <si>
    <t>Aplicativo Computacional</t>
  </si>
  <si>
    <t>Aparelhos</t>
  </si>
  <si>
    <t xml:space="preserve">OPERACIONALMENTE COMO ENTRAMOS COM APENAS UM ANO DE ATUAÇÃO NESSES ITENS. VALE APENAS O EVENTO? </t>
  </si>
  <si>
    <t xml:space="preserve"> Org Evento</t>
  </si>
  <si>
    <t xml:space="preserve"> Palestra/Conf</t>
  </si>
  <si>
    <t xml:space="preserve"> Trab em Eventos</t>
  </si>
  <si>
    <t>Comissões e comitês</t>
  </si>
  <si>
    <t xml:space="preserve">exemplos que podem gerar dúvidas - </t>
  </si>
  <si>
    <t>faço parte do conselho editorial da RBFT - onde se insere isso?</t>
  </si>
  <si>
    <t>como controlamos a questão do INPI? - Informa-se o número da patente no DATACAPES?</t>
  </si>
  <si>
    <t>% CONTRIB</t>
  </si>
  <si>
    <t>SOMA ED</t>
  </si>
  <si>
    <t>SOMA REV</t>
  </si>
  <si>
    <t>GRUPO I (P5 = 1 pts)</t>
  </si>
  <si>
    <t>INFORME AS OBRAS PUBLICADAS EM 2011 E 2012 QUE APRESENTAM BAIXA OU NENHUMA AFINIDADE COM A ÁREA</t>
  </si>
  <si>
    <t>TITULO ARTIGO</t>
  </si>
  <si>
    <t>PPG</t>
  </si>
  <si>
    <t>IES</t>
  </si>
  <si>
    <t>SUBÁREA</t>
  </si>
  <si>
    <t>N</t>
  </si>
  <si>
    <t>SUB</t>
  </si>
  <si>
    <t>NOME</t>
  </si>
  <si>
    <t>E-MAIL ALTERNATIVO</t>
  </si>
  <si>
    <t>ANO</t>
  </si>
  <si>
    <t># PP CCORD</t>
  </si>
  <si>
    <t>#PP PARTIC</t>
  </si>
  <si>
    <t>PPESQ</t>
  </si>
  <si>
    <t>BOLSA M</t>
  </si>
  <si>
    <t>BOLSA D</t>
  </si>
  <si>
    <t>BOLSAS</t>
  </si>
  <si>
    <t>SJR</t>
  </si>
  <si>
    <r>
      <t xml:space="preserve">INFORME AS OBRAS PUBLICADAS EM 2012 E </t>
    </r>
    <r>
      <rPr>
        <b/>
        <sz val="12"/>
        <color indexed="10"/>
        <rFont val="Calibri"/>
        <family val="2"/>
      </rPr>
      <t>QUE NÃO ESTÃO TIPIFICADAS NO WEBQUALIS</t>
    </r>
    <r>
      <rPr>
        <sz val="12"/>
        <color theme="1"/>
        <rFont val="Calibri"/>
        <family val="2"/>
      </rPr>
      <t>, NEM INFORMADAS NO COLETA 2011</t>
    </r>
  </si>
  <si>
    <t>INSIRA SOMENTE OBRAS EM QUE HOUVE PUBLICAÇÕES DO PRESENTE PPG</t>
  </si>
  <si>
    <t>NORMAS</t>
  </si>
  <si>
    <t>2010-2012</t>
  </si>
  <si>
    <t>EGRESSOS</t>
  </si>
  <si>
    <t>EGRESSOS 2</t>
  </si>
  <si>
    <t>EGRESSOS 1</t>
  </si>
  <si>
    <t>EF</t>
  </si>
  <si>
    <t>UPE/PE</t>
  </si>
  <si>
    <t>ALEXANDRE SÉRGIO SILVA</t>
  </si>
  <si>
    <t>AMILTON DA CRUZ SANTOS</t>
  </si>
  <si>
    <t>CAROLINE OLIVEIRA MARTINS</t>
  </si>
  <si>
    <t>C</t>
  </si>
  <si>
    <t>UFPB/PB</t>
  </si>
  <si>
    <t>CLARA M. MONTEIRO S. DE FREITAS</t>
  </si>
  <si>
    <t>DANIELA KARINA DA SILVA</t>
  </si>
  <si>
    <t>FERNANDO J. DE SÁ P. GUIMARÃES</t>
  </si>
  <si>
    <t>IRAQUITAN DE OLIVEIRA CAMINHA</t>
  </si>
  <si>
    <t>JOSÉ CAZUZA DE FARIAS JÚNIOR</t>
  </si>
  <si>
    <t>MANOEL DA CUNHA COSTA</t>
  </si>
  <si>
    <t>MARCELO SOARES T. DE MELO</t>
  </si>
  <si>
    <t>MARCÍLIO B. M. DE SOUZA JÚNIOR</t>
  </si>
  <si>
    <t>MARIA S. BRASILEIRO SANTOS</t>
  </si>
  <si>
    <t>MARIA S. CIRILO DE SOUZA</t>
  </si>
  <si>
    <t>MARIA TERESA CATTUZZO</t>
  </si>
  <si>
    <t>MAURO VIRGILIO GOMES DE BARROS</t>
  </si>
  <si>
    <t>PIERRE N. GOMES DA SILVA</t>
  </si>
  <si>
    <t>RAPHAEL MENDES RITTI DIAS</t>
  </si>
  <si>
    <t>RODRIGO CAPPATO DE ARAÚJO</t>
  </si>
  <si>
    <t>WAGNER LUIZ DO PRADO</t>
  </si>
  <si>
    <t>1179-1578</t>
  </si>
  <si>
    <t>Psychology Research and Behavior Management</t>
  </si>
  <si>
    <t>Medline</t>
  </si>
  <si>
    <t>mtcattuzzo@hotmail.com</t>
  </si>
  <si>
    <t>Aprendizagem motora</t>
  </si>
  <si>
    <t>Comportamento motor</t>
  </si>
  <si>
    <t>Desenvolvimento motor</t>
  </si>
  <si>
    <t>Controle motor</t>
  </si>
  <si>
    <t>mmelo19@hotmail.com</t>
  </si>
  <si>
    <t>mtavares19@hotmail.com</t>
  </si>
  <si>
    <t>Educação física escolar</t>
  </si>
  <si>
    <t>Prática pedagógica em Educação Física</t>
  </si>
  <si>
    <t>raphaelritti@gmail.com</t>
  </si>
  <si>
    <t>raphael.ritti@pq.cnpq.br</t>
  </si>
  <si>
    <t>Fisiologia cardiovascular</t>
  </si>
  <si>
    <t>Treinamento de força</t>
  </si>
  <si>
    <t>m.souzajr@uol.com.br</t>
  </si>
  <si>
    <t>marciliosouzajunior@pq.cnpq.br</t>
  </si>
  <si>
    <t>Singapure Medical Journal</t>
  </si>
  <si>
    <t>0037-5675</t>
  </si>
  <si>
    <t>rodrigocappato@yahoo.com.br</t>
  </si>
  <si>
    <t>rodrigo.cappato@upe.br</t>
  </si>
  <si>
    <t>FT</t>
  </si>
  <si>
    <t>Biomecânica</t>
  </si>
  <si>
    <t>Reabilitação do aparelho locmotor</t>
  </si>
  <si>
    <t>Physical Therapy Reviews</t>
  </si>
  <si>
    <t>1083-3196</t>
  </si>
  <si>
    <t>?</t>
  </si>
  <si>
    <t>0003-3197</t>
  </si>
  <si>
    <t>Angiology</t>
  </si>
  <si>
    <t>1062-0303</t>
  </si>
  <si>
    <t>Journal of Vascular Nursing</t>
  </si>
  <si>
    <t>Sim</t>
  </si>
  <si>
    <t>Não</t>
  </si>
  <si>
    <t>Raphael Mendes Ritti Dias</t>
  </si>
  <si>
    <t>Journal of Vascular nursing</t>
  </si>
  <si>
    <t>Sympathetic cardiac modulation and vascular worsening in arteritis: A case report</t>
  </si>
  <si>
    <t>Arquivos Brasileiros de Cardiologia</t>
  </si>
  <si>
    <t>Detecção de hipertensão arterial em adolescentes através de marcadores gerais e adiposidade abdominal</t>
  </si>
  <si>
    <t>Annals of Vascular Surgery</t>
  </si>
  <si>
    <t>0890-5096</t>
  </si>
  <si>
    <t>clarasilvestre@uol.com.br</t>
  </si>
  <si>
    <t>Lazer</t>
  </si>
  <si>
    <t>Corporiedade</t>
  </si>
  <si>
    <t>Emoção</t>
  </si>
  <si>
    <t>Revista de Pesquisa:cuidado é fundamental</t>
  </si>
  <si>
    <t>2175-5361</t>
  </si>
  <si>
    <t>Latindex</t>
  </si>
  <si>
    <t>Escola Anna Nery</t>
  </si>
  <si>
    <t>Clara Maria Monteiro Silvestre de Freitas</t>
  </si>
  <si>
    <t>1414-8145</t>
  </si>
  <si>
    <t>Contribuições da filosofia para a pesquisa em enfermagem</t>
  </si>
  <si>
    <t>Qualidade de vida:essencial no contexto profissional</t>
  </si>
  <si>
    <t>Revista da Rede de Enfermagem do Nordeste</t>
  </si>
  <si>
    <t>Percepção de idosas sobre o envelhecimento com qualidade de vida: subsídio para intervenções públicas</t>
  </si>
  <si>
    <t>Quando o cuidar dói: desvelando sentimentos de um ser que cuida</t>
  </si>
  <si>
    <t>Challenges in the allocation of resources in health: an ethical</t>
  </si>
  <si>
    <t>wagner.prado@pq.cnpq.br</t>
  </si>
  <si>
    <t>Exercício e doenças crônicas</t>
  </si>
  <si>
    <t>Exercício e obesidade</t>
  </si>
  <si>
    <t>Exercício para adolescentes</t>
  </si>
  <si>
    <t>Nutrição e exercício</t>
  </si>
  <si>
    <t>wlp_personal@yahoo.com.br</t>
  </si>
  <si>
    <t>mcosta2@gmail.com</t>
  </si>
  <si>
    <t>mcosta1962@hotmail.com</t>
  </si>
  <si>
    <t>Avaliação do desempenho</t>
  </si>
  <si>
    <t>Fisiologia do exercício</t>
  </si>
  <si>
    <t>Atividade motora adaptada</t>
  </si>
  <si>
    <t>Journal of Multidisciplinary Healthcare</t>
  </si>
  <si>
    <t>1178-2390</t>
  </si>
  <si>
    <t>Open Access Journal of Sports Medicine</t>
  </si>
  <si>
    <t>1179-1543</t>
  </si>
  <si>
    <t>p</t>
  </si>
  <si>
    <t>1983-3423</t>
  </si>
  <si>
    <t>EDUCAmazônia</t>
  </si>
  <si>
    <t>1519-7204</t>
  </si>
  <si>
    <t>Conceitos</t>
  </si>
  <si>
    <t>1677-3098</t>
  </si>
  <si>
    <t>RECE : Revista Eletrônica de Ciências da Educação</t>
  </si>
  <si>
    <t>1824-7490</t>
  </si>
  <si>
    <t>Sport Sciences for Heath (testo stampato)</t>
  </si>
  <si>
    <t>Scimago</t>
  </si>
  <si>
    <t>Pierre Normando Gomes da Silva</t>
  </si>
  <si>
    <t>2175-5841</t>
  </si>
  <si>
    <t>Horizonte: Revista de Estudos de Teologia e Ciências da Religião</t>
  </si>
  <si>
    <t>1982-6605</t>
  </si>
  <si>
    <t>Religare (UFPB)</t>
  </si>
  <si>
    <t>O imaginário do jardim e a corporeidade dos amantes</t>
  </si>
  <si>
    <t>O erótico no imaginário brasileiro: as palavras e a corporeidade</t>
  </si>
  <si>
    <t>Daniela Karina da Silva Ferreira</t>
  </si>
  <si>
    <t>0104-3552</t>
  </si>
  <si>
    <t>Revista Enfermagem UERJ</t>
  </si>
  <si>
    <t>Mortalidade neonatal e evitabilidade: uma análise do perfil epidemiológico</t>
  </si>
  <si>
    <t>Maria do Socorro Brasileiro Santos</t>
  </si>
  <si>
    <t>0873-2159</t>
  </si>
  <si>
    <t>Revista Portuguesa de Pneumologia</t>
  </si>
  <si>
    <t>Intervention of the Respiratory Physiotherapy on Pulmonar Function on Patients Submitted to a Bariatric Surgery: A Review. Revista Portuguesa de Pneumologia</t>
  </si>
  <si>
    <t>0.355</t>
  </si>
  <si>
    <t>JCR</t>
  </si>
  <si>
    <t>0873-2160</t>
  </si>
  <si>
    <t>A asma promove alteracão na postura estática? revisao sistemática. Revista Portuguesa de Pneumologia</t>
  </si>
  <si>
    <t>0.356</t>
  </si>
  <si>
    <t>Amilton da Cruz Santos</t>
  </si>
  <si>
    <t>0066-782X</t>
  </si>
  <si>
    <t>Vitamina C Restaura Pressão Arterial e a Resposta Vasodilatadora no antebraço em crianças obesas</t>
  </si>
  <si>
    <t>iraqui@uol.com.br</t>
  </si>
  <si>
    <t>Epistemologia</t>
  </si>
  <si>
    <t>Estética</t>
  </si>
  <si>
    <t>Ética</t>
  </si>
  <si>
    <t>Corporeidade</t>
  </si>
  <si>
    <t xml:space="preserve">pierrenormandogomesdasilva@gmail.com </t>
  </si>
  <si>
    <t>Pedagogia do Movimento</t>
  </si>
  <si>
    <t>Jogos e Educação</t>
  </si>
  <si>
    <t>Didática em Educação Física Escolar</t>
  </si>
  <si>
    <t>Movimento e Linguagem</t>
  </si>
  <si>
    <t>helpcirilo@yahoo.com</t>
  </si>
  <si>
    <t>Cineantropometria</t>
  </si>
  <si>
    <t>Avaliação Física</t>
  </si>
  <si>
    <t>Desempenho</t>
  </si>
  <si>
    <t>ass974@yahoo.com.br</t>
  </si>
  <si>
    <t>ass974@hotmail.com</t>
  </si>
  <si>
    <t xml:space="preserve">Fisiologia </t>
  </si>
  <si>
    <t>Hipertensão Arterial</t>
  </si>
  <si>
    <t>Overtraining</t>
  </si>
  <si>
    <t>Suplementação nutricional</t>
  </si>
  <si>
    <t>amilton@pq.cnpq.br</t>
  </si>
  <si>
    <t>adagatom@yahoo.com.br</t>
  </si>
  <si>
    <t>Fisiologia da Atividade Física</t>
  </si>
  <si>
    <t>Atividade Física e Saúde</t>
  </si>
  <si>
    <t>Reabilitação Cardiovascular</t>
  </si>
  <si>
    <t>Exercício na Saúde e na Doença</t>
  </si>
  <si>
    <t>carolinecevginla@gmail.com</t>
  </si>
  <si>
    <t>Saúde do trabalhador</t>
  </si>
  <si>
    <t>Ergonomia</t>
  </si>
  <si>
    <t>Ginástica Laboral</t>
  </si>
  <si>
    <t>danielakarina@hotmail.com</t>
  </si>
  <si>
    <t>Saúde Pública</t>
  </si>
  <si>
    <t>jcazuzajr@hotmail.com</t>
  </si>
  <si>
    <t>jcazuzajr@gmail.com</t>
  </si>
  <si>
    <t>Epidemiologia da Atividade Física</t>
  </si>
  <si>
    <t>Análise de Dados em Saúde</t>
  </si>
  <si>
    <t>Promoção da Atividade Física e Saúde</t>
  </si>
  <si>
    <t>sbrasileiro@pq.cnpq.br</t>
  </si>
  <si>
    <t>sbrasileiro@yahoo.com.br</t>
  </si>
  <si>
    <t>Cinesiologia e Biomêcanica</t>
  </si>
  <si>
    <t>mauro.barros@upe.br</t>
  </si>
  <si>
    <t>maurovgb@gmail.com</t>
  </si>
  <si>
    <t>Inter-relação atividade física e saúde</t>
  </si>
  <si>
    <t>Epidemiologia da atividade física</t>
  </si>
  <si>
    <t>Promoção da saúde</t>
  </si>
  <si>
    <t>Epidemiologia de condutas de risco à saúde</t>
  </si>
  <si>
    <t>00102750459</t>
  </si>
  <si>
    <t>00744807409</t>
  </si>
  <si>
    <t>04141559636</t>
  </si>
  <si>
    <t>22478426404</t>
  </si>
  <si>
    <t>fguima60@hotmail.com</t>
  </si>
  <si>
    <t>Composição corporal</t>
  </si>
  <si>
    <t>Maney Publishing</t>
  </si>
  <si>
    <t>Lilacs</t>
  </si>
  <si>
    <t>Revista de pesquisa:ciuidado é fundamental online</t>
  </si>
  <si>
    <t>Revista de Enfermagem UFPE Online</t>
  </si>
  <si>
    <t>2175-6783</t>
  </si>
  <si>
    <t>1981-8963</t>
  </si>
  <si>
    <t>1981-8964</t>
  </si>
  <si>
    <t>Scielo</t>
  </si>
  <si>
    <t>As lendas e a imaginação simbólica: uma metodologia para a sala de aula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</si>
</sst>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9"/>
      <color indexed="10"/>
      <name val="Calibri"/>
      <family val="2"/>
    </font>
    <font>
      <sz val="11"/>
      <name val="Cambr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Verdana"/>
      <family val="2"/>
    </font>
    <font>
      <b/>
      <sz val="12"/>
      <name val="Calibri"/>
      <family val="2"/>
    </font>
    <font>
      <u val="single"/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sz val="12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  <font>
      <u val="single"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2" fillId="36" borderId="17" xfId="0" applyFont="1" applyFill="1" applyBorder="1" applyAlignment="1">
      <alignment horizontal="justify" vertical="top" wrapText="1"/>
    </xf>
    <xf numFmtId="0" fontId="0" fillId="0" borderId="18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2" borderId="19" xfId="0" applyFill="1" applyBorder="1" applyAlignment="1">
      <alignment/>
    </xf>
    <xf numFmtId="1" fontId="0" fillId="2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Border="1" applyAlignment="1">
      <alignment/>
    </xf>
    <xf numFmtId="1" fontId="0" fillId="37" borderId="2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8" borderId="27" xfId="0" applyFill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0" fillId="39" borderId="0" xfId="0" applyFill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39" borderId="19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8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56" fillId="42" borderId="18" xfId="0" applyFont="1" applyFill="1" applyBorder="1" applyAlignment="1">
      <alignment/>
    </xf>
    <xf numFmtId="0" fontId="0" fillId="42" borderId="19" xfId="0" applyFill="1" applyBorder="1" applyAlignment="1">
      <alignment/>
    </xf>
    <xf numFmtId="0" fontId="56" fillId="42" borderId="19" xfId="0" applyFont="1" applyFill="1" applyBorder="1" applyAlignment="1">
      <alignment/>
    </xf>
    <xf numFmtId="0" fontId="0" fillId="39" borderId="13" xfId="0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9" xfId="0" applyFill="1" applyBorder="1" applyAlignment="1">
      <alignment horizontal="center"/>
    </xf>
    <xf numFmtId="0" fontId="0" fillId="43" borderId="19" xfId="0" applyFill="1" applyBorder="1" applyAlignment="1">
      <alignment horizontal="left"/>
    </xf>
    <xf numFmtId="0" fontId="55" fillId="43" borderId="19" xfId="0" applyFont="1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11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6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23" xfId="0" applyFill="1" applyBorder="1" applyAlignment="1">
      <alignment/>
    </xf>
    <xf numFmtId="2" fontId="0" fillId="43" borderId="37" xfId="0" applyNumberFormat="1" applyFill="1" applyBorder="1" applyAlignment="1">
      <alignment/>
    </xf>
    <xf numFmtId="2" fontId="0" fillId="43" borderId="38" xfId="0" applyNumberFormat="1" applyFill="1" applyBorder="1" applyAlignment="1">
      <alignment/>
    </xf>
    <xf numFmtId="0" fontId="0" fillId="43" borderId="23" xfId="0" applyFill="1" applyBorder="1" applyAlignment="1">
      <alignment horizontal="center"/>
    </xf>
    <xf numFmtId="0" fontId="0" fillId="33" borderId="14" xfId="0" applyFill="1" applyBorder="1" applyAlignment="1">
      <alignment/>
    </xf>
    <xf numFmtId="164" fontId="0" fillId="2" borderId="19" xfId="0" applyNumberFormat="1" applyFill="1" applyBorder="1" applyAlignment="1">
      <alignment/>
    </xf>
    <xf numFmtId="164" fontId="0" fillId="44" borderId="19" xfId="0" applyNumberFormat="1" applyFill="1" applyBorder="1" applyAlignment="1">
      <alignment/>
    </xf>
    <xf numFmtId="0" fontId="8" fillId="42" borderId="19" xfId="0" applyFont="1" applyFill="1" applyBorder="1" applyAlignment="1">
      <alignment/>
    </xf>
    <xf numFmtId="0" fontId="2" fillId="36" borderId="30" xfId="0" applyFont="1" applyFill="1" applyBorder="1" applyAlignment="1">
      <alignment horizontal="justify" vertical="top" wrapText="1"/>
    </xf>
    <xf numFmtId="0" fontId="0" fillId="0" borderId="39" xfId="0" applyBorder="1" applyAlignment="1">
      <alignment/>
    </xf>
    <xf numFmtId="0" fontId="0" fillId="2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3" borderId="0" xfId="0" applyFill="1" applyAlignment="1">
      <alignment/>
    </xf>
    <xf numFmtId="0" fontId="2" fillId="39" borderId="17" xfId="0" applyFont="1" applyFill="1" applyBorder="1" applyAlignment="1">
      <alignment horizontal="center" vertical="top" wrapText="1"/>
    </xf>
    <xf numFmtId="0" fontId="2" fillId="43" borderId="17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/>
    </xf>
    <xf numFmtId="164" fontId="0" fillId="35" borderId="19" xfId="0" applyNumberFormat="1" applyFill="1" applyBorder="1" applyAlignment="1">
      <alignment/>
    </xf>
    <xf numFmtId="0" fontId="54" fillId="0" borderId="1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0" fillId="39" borderId="41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164" fontId="0" fillId="0" borderId="3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0" borderId="37" xfId="0" applyBorder="1" applyAlignment="1">
      <alignment/>
    </xf>
    <xf numFmtId="0" fontId="57" fillId="0" borderId="44" xfId="0" applyFont="1" applyBorder="1" applyAlignment="1">
      <alignment/>
    </xf>
    <xf numFmtId="0" fontId="57" fillId="0" borderId="42" xfId="0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45" xfId="0" applyFont="1" applyBorder="1" applyAlignment="1">
      <alignment/>
    </xf>
    <xf numFmtId="164" fontId="0" fillId="0" borderId="4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55" fillId="40" borderId="22" xfId="0" applyFont="1" applyFill="1" applyBorder="1" applyAlignment="1">
      <alignment horizontal="center" vertical="center" textRotation="90"/>
    </xf>
    <xf numFmtId="0" fontId="55" fillId="40" borderId="22" xfId="0" applyFont="1" applyFill="1" applyBorder="1" applyAlignment="1">
      <alignment horizontal="center" vertical="center"/>
    </xf>
    <xf numFmtId="0" fontId="55" fillId="0" borderId="33" xfId="0" applyFont="1" applyBorder="1" applyAlignment="1">
      <alignment/>
    </xf>
    <xf numFmtId="0" fontId="2" fillId="36" borderId="11" xfId="0" applyFont="1" applyFill="1" applyBorder="1" applyAlignment="1">
      <alignment horizontal="justify" vertical="top" wrapTex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Fill="1" applyBorder="1" applyAlignment="1">
      <alignment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164" fontId="0" fillId="8" borderId="49" xfId="0" applyNumberFormat="1" applyFill="1" applyBorder="1" applyAlignment="1">
      <alignment/>
    </xf>
    <xf numFmtId="0" fontId="0" fillId="8" borderId="0" xfId="0" applyFill="1" applyAlignment="1">
      <alignment/>
    </xf>
    <xf numFmtId="164" fontId="0" fillId="8" borderId="11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50" xfId="0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45" borderId="0" xfId="0" applyFill="1" applyBorder="1" applyAlignment="1">
      <alignment horizontal="center"/>
    </xf>
    <xf numFmtId="164" fontId="0" fillId="42" borderId="32" xfId="0" applyNumberFormat="1" applyFill="1" applyBorder="1" applyAlignment="1">
      <alignment horizontal="center"/>
    </xf>
    <xf numFmtId="164" fontId="0" fillId="42" borderId="24" xfId="0" applyNumberFormat="1" applyFill="1" applyBorder="1" applyAlignment="1">
      <alignment horizontal="center"/>
    </xf>
    <xf numFmtId="0" fontId="0" fillId="42" borderId="33" xfId="0" applyFill="1" applyBorder="1" applyAlignment="1">
      <alignment/>
    </xf>
    <xf numFmtId="0" fontId="0" fillId="39" borderId="37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57" fillId="0" borderId="19" xfId="0" applyFont="1" applyBorder="1" applyAlignment="1">
      <alignment/>
    </xf>
    <xf numFmtId="0" fontId="57" fillId="0" borderId="19" xfId="0" applyFont="1" applyFill="1" applyBorder="1" applyAlignment="1">
      <alignment/>
    </xf>
    <xf numFmtId="0" fontId="59" fillId="2" borderId="52" xfId="0" applyFont="1" applyFill="1" applyBorder="1" applyAlignment="1">
      <alignment horizontal="center"/>
    </xf>
    <xf numFmtId="0" fontId="59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2" borderId="19" xfId="0" applyFont="1" applyFill="1" applyBorder="1" applyAlignment="1">
      <alignment horizontal="center"/>
    </xf>
    <xf numFmtId="0" fontId="54" fillId="2" borderId="20" xfId="0" applyFont="1" applyFill="1" applyBorder="1" applyAlignment="1">
      <alignment horizontal="center"/>
    </xf>
    <xf numFmtId="0" fontId="59" fillId="2" borderId="36" xfId="0" applyFont="1" applyFill="1" applyBorder="1" applyAlignment="1">
      <alignment horizontal="center"/>
    </xf>
    <xf numFmtId="0" fontId="59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9" fillId="2" borderId="33" xfId="0" applyFont="1" applyFill="1" applyBorder="1" applyAlignment="1">
      <alignment horizontal="center"/>
    </xf>
    <xf numFmtId="0" fontId="59" fillId="2" borderId="37" xfId="0" applyFont="1" applyFill="1" applyBorder="1" applyAlignment="1">
      <alignment horizontal="center"/>
    </xf>
    <xf numFmtId="0" fontId="59" fillId="2" borderId="32" xfId="0" applyFont="1" applyFill="1" applyBorder="1" applyAlignment="1">
      <alignment horizontal="center"/>
    </xf>
    <xf numFmtId="0" fontId="59" fillId="2" borderId="38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59" fillId="35" borderId="20" xfId="0" applyFont="1" applyFill="1" applyBorder="1" applyAlignment="1">
      <alignment horizontal="center"/>
    </xf>
    <xf numFmtId="0" fontId="59" fillId="35" borderId="21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2" borderId="20" xfId="0" applyFont="1" applyFill="1" applyBorder="1" applyAlignment="1">
      <alignment horizontal="center"/>
    </xf>
    <xf numFmtId="0" fontId="0" fillId="8" borderId="19" xfId="0" applyFont="1" applyFill="1" applyBorder="1" applyAlignment="1">
      <alignment/>
    </xf>
    <xf numFmtId="0" fontId="0" fillId="8" borderId="19" xfId="0" applyFill="1" applyBorder="1" applyAlignment="1">
      <alignment horizontal="center"/>
    </xf>
    <xf numFmtId="0" fontId="0" fillId="42" borderId="33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60" fillId="42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59" fillId="2" borderId="19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4" fillId="2" borderId="19" xfId="0" applyFont="1" applyFill="1" applyBorder="1" applyAlignment="1">
      <alignment horizontal="center"/>
    </xf>
    <xf numFmtId="0" fontId="39" fillId="2" borderId="19" xfId="33" applyFill="1" applyBorder="1" applyAlignment="1">
      <alignment horizontal="center"/>
    </xf>
    <xf numFmtId="0" fontId="45" fillId="2" borderId="19" xfId="45" applyFill="1" applyBorder="1" applyAlignment="1">
      <alignment horizontal="center"/>
    </xf>
    <xf numFmtId="0" fontId="59" fillId="2" borderId="33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4" fillId="2" borderId="33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0" fillId="42" borderId="19" xfId="0" applyFill="1" applyBorder="1" applyAlignment="1">
      <alignment/>
    </xf>
    <xf numFmtId="0" fontId="56" fillId="42" borderId="19" xfId="0" applyFont="1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19" xfId="0" applyFill="1" applyBorder="1" applyAlignment="1">
      <alignment horizontal="center"/>
    </xf>
    <xf numFmtId="164" fontId="61" fillId="8" borderId="32" xfId="0" applyNumberFormat="1" applyFont="1" applyFill="1" applyBorder="1" applyAlignment="1">
      <alignment horizontal="center"/>
    </xf>
    <xf numFmtId="164" fontId="61" fillId="8" borderId="24" xfId="0" applyNumberFormat="1" applyFont="1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19" xfId="0" applyFill="1" applyBorder="1" applyAlignment="1">
      <alignment horizontal="center"/>
    </xf>
    <xf numFmtId="0" fontId="0" fillId="42" borderId="0" xfId="0" applyFill="1" applyAlignment="1">
      <alignment/>
    </xf>
    <xf numFmtId="0" fontId="35" fillId="2" borderId="19" xfId="0" applyFont="1" applyFill="1" applyBorder="1" applyAlignment="1">
      <alignment/>
    </xf>
    <xf numFmtId="0" fontId="35" fillId="2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57" fillId="2" borderId="19" xfId="0" applyNumberFormat="1" applyFont="1" applyFill="1" applyBorder="1" applyAlignment="1">
      <alignment horizontal="left"/>
    </xf>
    <xf numFmtId="0" fontId="11" fillId="2" borderId="19" xfId="0" applyFont="1" applyFill="1" applyBorder="1" applyAlignment="1">
      <alignment horizontal="center"/>
    </xf>
    <xf numFmtId="49" fontId="0" fillId="2" borderId="19" xfId="0" applyNumberFormat="1" applyFill="1" applyBorder="1" applyAlignment="1">
      <alignment/>
    </xf>
    <xf numFmtId="0" fontId="3" fillId="42" borderId="18" xfId="0" applyFont="1" applyFill="1" applyBorder="1" applyAlignment="1">
      <alignment horizontal="center"/>
    </xf>
    <xf numFmtId="0" fontId="56" fillId="42" borderId="18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56" fillId="42" borderId="19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56" fillId="42" borderId="19" xfId="0" applyFont="1" applyFill="1" applyBorder="1" applyAlignment="1">
      <alignment horizontal="center"/>
    </xf>
    <xf numFmtId="0" fontId="59" fillId="42" borderId="18" xfId="0" applyFont="1" applyFill="1" applyBorder="1" applyAlignment="1">
      <alignment horizontal="center"/>
    </xf>
    <xf numFmtId="0" fontId="59" fillId="42" borderId="19" xfId="0" applyFont="1" applyFill="1" applyBorder="1" applyAlignment="1">
      <alignment horizontal="center"/>
    </xf>
    <xf numFmtId="0" fontId="59" fillId="42" borderId="19" xfId="0" applyFont="1" applyFill="1" applyBorder="1" applyAlignment="1">
      <alignment horizontal="center"/>
    </xf>
    <xf numFmtId="0" fontId="3" fillId="42" borderId="38" xfId="0" applyFont="1" applyFill="1" applyBorder="1" applyAlignment="1">
      <alignment horizontal="center"/>
    </xf>
    <xf numFmtId="0" fontId="59" fillId="42" borderId="38" xfId="0" applyFont="1" applyFill="1" applyBorder="1" applyAlignment="1">
      <alignment horizontal="center"/>
    </xf>
    <xf numFmtId="164" fontId="59" fillId="42" borderId="43" xfId="0" applyNumberFormat="1" applyFont="1" applyFill="1" applyBorder="1" applyAlignment="1">
      <alignment horizontal="center"/>
    </xf>
    <xf numFmtId="1" fontId="59" fillId="42" borderId="32" xfId="0" applyNumberFormat="1" applyFont="1" applyFill="1" applyBorder="1" applyAlignment="1">
      <alignment horizontal="center"/>
    </xf>
    <xf numFmtId="1" fontId="59" fillId="42" borderId="24" xfId="0" applyNumberFormat="1" applyFont="1" applyFill="1" applyBorder="1" applyAlignment="1">
      <alignment horizontal="center"/>
    </xf>
    <xf numFmtId="1" fontId="59" fillId="42" borderId="43" xfId="0" applyNumberFormat="1" applyFont="1" applyFill="1" applyBorder="1" applyAlignment="1">
      <alignment horizontal="center"/>
    </xf>
    <xf numFmtId="1" fontId="59" fillId="42" borderId="41" xfId="0" applyNumberFormat="1" applyFont="1" applyFill="1" applyBorder="1" applyAlignment="1">
      <alignment horizontal="center"/>
    </xf>
    <xf numFmtId="164" fontId="59" fillId="42" borderId="32" xfId="0" applyNumberFormat="1" applyFont="1" applyFill="1" applyBorder="1" applyAlignment="1">
      <alignment horizontal="center"/>
    </xf>
    <xf numFmtId="164" fontId="59" fillId="42" borderId="24" xfId="0" applyNumberFormat="1" applyFont="1" applyFill="1" applyBorder="1" applyAlignment="1">
      <alignment horizontal="center"/>
    </xf>
    <xf numFmtId="164" fontId="62" fillId="8" borderId="43" xfId="0" applyNumberFormat="1" applyFont="1" applyFill="1" applyBorder="1" applyAlignment="1">
      <alignment horizontal="center"/>
    </xf>
    <xf numFmtId="164" fontId="59" fillId="8" borderId="32" xfId="0" applyNumberFormat="1" applyFont="1" applyFill="1" applyBorder="1" applyAlignment="1">
      <alignment horizontal="center"/>
    </xf>
    <xf numFmtId="164" fontId="59" fillId="8" borderId="24" xfId="0" applyNumberFormat="1" applyFont="1" applyFill="1" applyBorder="1" applyAlignment="1">
      <alignment horizontal="center"/>
    </xf>
    <xf numFmtId="1" fontId="59" fillId="8" borderId="24" xfId="0" applyNumberFormat="1" applyFont="1" applyFill="1" applyBorder="1" applyAlignment="1">
      <alignment horizontal="center"/>
    </xf>
    <xf numFmtId="0" fontId="59" fillId="42" borderId="20" xfId="0" applyFont="1" applyFill="1" applyBorder="1" applyAlignment="1">
      <alignment horizontal="center"/>
    </xf>
    <xf numFmtId="1" fontId="59" fillId="42" borderId="33" xfId="0" applyNumberFormat="1" applyFont="1" applyFill="1" applyBorder="1" applyAlignment="1">
      <alignment horizontal="center"/>
    </xf>
    <xf numFmtId="1" fontId="59" fillId="42" borderId="19" xfId="0" applyNumberFormat="1" applyFont="1" applyFill="1" applyBorder="1" applyAlignment="1">
      <alignment horizontal="center"/>
    </xf>
    <xf numFmtId="1" fontId="59" fillId="42" borderId="20" xfId="0" applyNumberFormat="1" applyFont="1" applyFill="1" applyBorder="1" applyAlignment="1">
      <alignment horizontal="center"/>
    </xf>
    <xf numFmtId="1" fontId="59" fillId="42" borderId="53" xfId="0" applyNumberFormat="1" applyFont="1" applyFill="1" applyBorder="1" applyAlignment="1">
      <alignment horizontal="center"/>
    </xf>
    <xf numFmtId="0" fontId="63" fillId="42" borderId="33" xfId="0" applyFont="1" applyFill="1" applyBorder="1" applyAlignment="1">
      <alignment horizontal="center"/>
    </xf>
    <xf numFmtId="0" fontId="59" fillId="42" borderId="20" xfId="0" applyFont="1" applyFill="1" applyBorder="1" applyAlignment="1">
      <alignment horizontal="center"/>
    </xf>
    <xf numFmtId="1" fontId="59" fillId="42" borderId="33" xfId="0" applyNumberFormat="1" applyFont="1" applyFill="1" applyBorder="1" applyAlignment="1">
      <alignment horizontal="center"/>
    </xf>
    <xf numFmtId="1" fontId="59" fillId="42" borderId="19" xfId="0" applyNumberFormat="1" applyFont="1" applyFill="1" applyBorder="1" applyAlignment="1">
      <alignment horizontal="center"/>
    </xf>
    <xf numFmtId="1" fontId="59" fillId="42" borderId="20" xfId="0" applyNumberFormat="1" applyFont="1" applyFill="1" applyBorder="1" applyAlignment="1">
      <alignment horizontal="center"/>
    </xf>
    <xf numFmtId="1" fontId="59" fillId="42" borderId="53" xfId="0" applyNumberFormat="1" applyFont="1" applyFill="1" applyBorder="1" applyAlignment="1">
      <alignment horizontal="center"/>
    </xf>
    <xf numFmtId="0" fontId="63" fillId="42" borderId="33" xfId="0" applyFont="1" applyFill="1" applyBorder="1" applyAlignment="1">
      <alignment horizontal="center"/>
    </xf>
    <xf numFmtId="0" fontId="59" fillId="42" borderId="33" xfId="0" applyFont="1" applyFill="1" applyBorder="1" applyAlignment="1">
      <alignment horizontal="center"/>
    </xf>
    <xf numFmtId="0" fontId="59" fillId="42" borderId="33" xfId="0" applyFont="1" applyFill="1" applyBorder="1" applyAlignment="1">
      <alignment horizontal="center"/>
    </xf>
    <xf numFmtId="0" fontId="59" fillId="42" borderId="53" xfId="0" applyFont="1" applyFill="1" applyBorder="1" applyAlignment="1">
      <alignment horizontal="center"/>
    </xf>
    <xf numFmtId="0" fontId="59" fillId="42" borderId="53" xfId="0" applyFont="1" applyFill="1" applyBorder="1" applyAlignment="1">
      <alignment horizontal="center"/>
    </xf>
    <xf numFmtId="1" fontId="63" fillId="42" borderId="53" xfId="0" applyNumberFormat="1" applyFont="1" applyFill="1" applyBorder="1" applyAlignment="1">
      <alignment horizontal="center"/>
    </xf>
    <xf numFmtId="164" fontId="59" fillId="42" borderId="25" xfId="0" applyNumberFormat="1" applyFont="1" applyFill="1" applyBorder="1" applyAlignment="1">
      <alignment horizontal="center"/>
    </xf>
    <xf numFmtId="164" fontId="59" fillId="8" borderId="25" xfId="0" applyNumberFormat="1" applyFont="1" applyFill="1" applyBorder="1" applyAlignment="1">
      <alignment horizontal="center"/>
    </xf>
    <xf numFmtId="0" fontId="59" fillId="42" borderId="27" xfId="0" applyFont="1" applyFill="1" applyBorder="1" applyAlignment="1">
      <alignment horizontal="center"/>
    </xf>
    <xf numFmtId="0" fontId="59" fillId="42" borderId="27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7" borderId="41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8" fillId="40" borderId="13" xfId="0" applyFont="1" applyFill="1" applyBorder="1" applyAlignment="1">
      <alignment horizontal="center" vertical="center" textRotation="90" wrapText="1"/>
    </xf>
    <xf numFmtId="0" fontId="58" fillId="40" borderId="0" xfId="0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39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0" borderId="5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9" borderId="5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55" fillId="39" borderId="58" xfId="0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/>
    </xf>
    <xf numFmtId="0" fontId="55" fillId="40" borderId="37" xfId="0" applyFont="1" applyFill="1" applyBorder="1" applyAlignment="1">
      <alignment horizontal="center" vertical="center" textRotation="90"/>
    </xf>
    <xf numFmtId="0" fontId="55" fillId="40" borderId="38" xfId="0" applyFont="1" applyFill="1" applyBorder="1" applyAlignment="1">
      <alignment horizontal="center" vertical="center" textRotation="90"/>
    </xf>
    <xf numFmtId="0" fontId="0" fillId="45" borderId="51" xfId="0" applyFill="1" applyBorder="1" applyAlignment="1">
      <alignment horizontal="center"/>
    </xf>
    <xf numFmtId="0" fontId="55" fillId="40" borderId="18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55" fillId="40" borderId="44" xfId="0" applyFont="1" applyFill="1" applyBorder="1" applyAlignment="1">
      <alignment horizontal="center" vertical="center" textRotation="90"/>
    </xf>
    <xf numFmtId="0" fontId="55" fillId="40" borderId="22" xfId="0" applyFont="1" applyFill="1" applyBorder="1" applyAlignment="1">
      <alignment horizontal="center" vertical="center" textRotation="90"/>
    </xf>
    <xf numFmtId="9" fontId="0" fillId="39" borderId="55" xfId="0" applyNumberFormat="1" applyFill="1" applyBorder="1" applyAlignment="1">
      <alignment horizontal="center"/>
    </xf>
    <xf numFmtId="9" fontId="0" fillId="39" borderId="59" xfId="0" applyNumberFormat="1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0" xfId="0" applyBorder="1" applyAlignment="1">
      <alignment horizontal="center"/>
    </xf>
    <xf numFmtId="0" fontId="0" fillId="39" borderId="60" xfId="0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6"/>
  <sheetViews>
    <sheetView tabSelected="1" zoomScale="120" zoomScaleNormal="120" zoomScalePageLayoutView="150" workbookViewId="0" topLeftCell="C1">
      <pane xSplit="3" ySplit="2" topLeftCell="AF3" activePane="bottomRight" state="frozen"/>
      <selection pane="topLeft" activeCell="C1" sqref="C1"/>
      <selection pane="topRight" activeCell="F1" sqref="F1"/>
      <selection pane="bottomLeft" activeCell="C3" sqref="C3"/>
      <selection pane="bottomRight" activeCell="V10" sqref="V10"/>
    </sheetView>
  </sheetViews>
  <sheetFormatPr defaultColWidth="8.875" defaultRowHeight="15.75"/>
  <cols>
    <col min="1" max="1" width="8.875" style="0" customWidth="1"/>
    <col min="2" max="2" width="10.50390625" style="0" bestFit="1" customWidth="1"/>
    <col min="3" max="3" width="4.375" style="0" bestFit="1" customWidth="1"/>
    <col min="4" max="4" width="41.50390625" style="0" bestFit="1" customWidth="1"/>
    <col min="5" max="19" width="5.50390625" style="0" customWidth="1"/>
    <col min="20" max="20" width="3.875" style="0" customWidth="1"/>
    <col min="21" max="21" width="5.50390625" style="0" customWidth="1"/>
    <col min="22" max="36" width="5.375" style="0" customWidth="1"/>
    <col min="37" max="52" width="5.50390625" style="0" customWidth="1"/>
    <col min="53" max="53" width="5.875" style="0" customWidth="1"/>
    <col min="54" max="54" width="7.00390625" style="0" customWidth="1"/>
    <col min="55" max="55" width="8.00390625" style="0" customWidth="1"/>
    <col min="56" max="56" width="7.50390625" style="0" customWidth="1"/>
    <col min="57" max="57" width="7.50390625" style="0" hidden="1" customWidth="1"/>
    <col min="58" max="58" width="10.00390625" style="0" customWidth="1"/>
    <col min="59" max="59" width="10.00390625" style="0" hidden="1" customWidth="1"/>
    <col min="60" max="60" width="7.875" style="0" customWidth="1"/>
    <col min="61" max="61" width="7.875" style="0" hidden="1" customWidth="1"/>
    <col min="62" max="62" width="6.875" style="0" customWidth="1"/>
    <col min="63" max="63" width="8.125" style="0" customWidth="1"/>
    <col min="64" max="64" width="5.875" style="0" customWidth="1"/>
    <col min="65" max="65" width="5.375" style="0" customWidth="1"/>
    <col min="66" max="66" width="4.625" style="0" customWidth="1"/>
    <col min="67" max="67" width="4.625" style="0" hidden="1" customWidth="1"/>
    <col min="68" max="68" width="4.00390625" style="0" customWidth="1"/>
    <col min="69" max="69" width="4.00390625" style="0" hidden="1" customWidth="1"/>
    <col min="70" max="70" width="6.375" style="0" customWidth="1"/>
    <col min="71" max="72" width="5.125" style="0" customWidth="1"/>
    <col min="73" max="73" width="5.125" style="0" hidden="1" customWidth="1"/>
    <col min="74" max="74" width="5.125" style="0" customWidth="1"/>
    <col min="75" max="75" width="5.125" style="0" hidden="1" customWidth="1"/>
    <col min="76" max="76" width="5.125" style="0" customWidth="1"/>
    <col min="77" max="77" width="3.00390625" style="0" customWidth="1"/>
    <col min="78" max="78" width="10.50390625" style="0" customWidth="1"/>
    <col min="79" max="80" width="11.50390625" style="0" hidden="1" customWidth="1"/>
    <col min="81" max="81" width="8.50390625" style="0" customWidth="1"/>
    <col min="82" max="82" width="9.00390625" style="0" customWidth="1"/>
    <col min="83" max="83" width="8.375" style="0" customWidth="1"/>
    <col min="84" max="84" width="11.50390625" style="0" customWidth="1"/>
    <col min="85" max="85" width="5.00390625" style="0" bestFit="1" customWidth="1"/>
    <col min="86" max="86" width="11.50390625" style="0" customWidth="1"/>
    <col min="87" max="87" width="5.125" style="0" bestFit="1" customWidth="1"/>
    <col min="88" max="88" width="11.50390625" style="0" customWidth="1"/>
    <col min="89" max="89" width="5.125" style="0" bestFit="1" customWidth="1"/>
    <col min="90" max="90" width="4.00390625" style="0" customWidth="1"/>
    <col min="91" max="91" width="10.00390625" style="0" customWidth="1"/>
    <col min="92" max="92" width="5.625" style="0" customWidth="1"/>
    <col min="93" max="102" width="8.125" style="0" customWidth="1"/>
    <col min="103" max="103" width="8.125" style="0" hidden="1" customWidth="1"/>
    <col min="104" max="107" width="8.125" style="0" customWidth="1"/>
    <col min="108" max="108" width="0" style="0" hidden="1" customWidth="1"/>
    <col min="109" max="113" width="8.875" style="0" customWidth="1"/>
    <col min="114" max="115" width="9.125" style="0" customWidth="1"/>
    <col min="116" max="117" width="9.125" style="0" hidden="1" customWidth="1"/>
    <col min="118" max="119" width="8.875" style="0" customWidth="1"/>
    <col min="120" max="121" width="0" style="0" hidden="1" customWidth="1"/>
    <col min="122" max="123" width="8.875" style="0" customWidth="1"/>
    <col min="124" max="125" width="0" style="0" hidden="1" customWidth="1"/>
  </cols>
  <sheetData>
    <row r="1" spans="5:91" ht="15.75" customHeight="1" thickBot="1">
      <c r="E1" s="1"/>
      <c r="F1" s="279">
        <v>2010</v>
      </c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2"/>
      <c r="V1" s="274">
        <v>2011</v>
      </c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81"/>
      <c r="AK1" s="3"/>
      <c r="AL1" s="282">
        <v>2012</v>
      </c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3"/>
      <c r="BA1" s="289" t="s">
        <v>136</v>
      </c>
      <c r="BB1" s="4"/>
      <c r="BC1" s="284" t="s">
        <v>0</v>
      </c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5"/>
      <c r="CF1" t="s">
        <v>60</v>
      </c>
      <c r="CH1" t="s">
        <v>61</v>
      </c>
      <c r="CJ1" t="s">
        <v>62</v>
      </c>
      <c r="CM1" s="5" t="s">
        <v>1</v>
      </c>
    </row>
    <row r="2" spans="1:125" ht="16.5" thickBot="1">
      <c r="A2" t="s">
        <v>194</v>
      </c>
      <c r="B2" t="s">
        <v>193</v>
      </c>
      <c r="D2" s="6" t="s">
        <v>2</v>
      </c>
      <c r="E2" s="122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9" t="s">
        <v>18</v>
      </c>
      <c r="U2" s="10" t="s">
        <v>3</v>
      </c>
      <c r="V2" s="11" t="s">
        <v>4</v>
      </c>
      <c r="W2" s="12" t="s">
        <v>5</v>
      </c>
      <c r="X2" s="12" t="s">
        <v>6</v>
      </c>
      <c r="Y2" s="12" t="s">
        <v>7</v>
      </c>
      <c r="Z2" s="12" t="s">
        <v>8</v>
      </c>
      <c r="AA2" s="12" t="s">
        <v>9</v>
      </c>
      <c r="AB2" s="12" t="s">
        <v>10</v>
      </c>
      <c r="AC2" s="12" t="s">
        <v>11</v>
      </c>
      <c r="AD2" s="12" t="s">
        <v>12</v>
      </c>
      <c r="AE2" s="12" t="s">
        <v>13</v>
      </c>
      <c r="AF2" s="12" t="s">
        <v>14</v>
      </c>
      <c r="AG2" s="12" t="s">
        <v>15</v>
      </c>
      <c r="AH2" s="12" t="s">
        <v>16</v>
      </c>
      <c r="AI2" s="12" t="s">
        <v>17</v>
      </c>
      <c r="AJ2" s="13" t="s">
        <v>18</v>
      </c>
      <c r="AK2" s="14" t="s">
        <v>3</v>
      </c>
      <c r="AL2" s="15" t="s">
        <v>4</v>
      </c>
      <c r="AM2" s="16" t="s">
        <v>5</v>
      </c>
      <c r="AN2" s="16" t="s">
        <v>6</v>
      </c>
      <c r="AO2" s="16" t="s">
        <v>7</v>
      </c>
      <c r="AP2" s="16" t="s">
        <v>8</v>
      </c>
      <c r="AQ2" s="16" t="s">
        <v>9</v>
      </c>
      <c r="AR2" s="16" t="s">
        <v>10</v>
      </c>
      <c r="AS2" s="7" t="s">
        <v>11</v>
      </c>
      <c r="AT2" s="8" t="s">
        <v>12</v>
      </c>
      <c r="AU2" s="8" t="s">
        <v>13</v>
      </c>
      <c r="AV2" s="9" t="s">
        <v>14</v>
      </c>
      <c r="AW2" s="8" t="s">
        <v>15</v>
      </c>
      <c r="AX2" s="8" t="s">
        <v>16</v>
      </c>
      <c r="AY2" s="8" t="s">
        <v>17</v>
      </c>
      <c r="AZ2" s="9" t="s">
        <v>18</v>
      </c>
      <c r="BA2" s="290"/>
      <c r="BB2" s="17" t="s">
        <v>3</v>
      </c>
      <c r="BC2" s="108" t="s">
        <v>4</v>
      </c>
      <c r="BD2" s="109" t="s">
        <v>5</v>
      </c>
      <c r="BE2" s="109" t="s">
        <v>19</v>
      </c>
      <c r="BF2" s="109" t="s">
        <v>6</v>
      </c>
      <c r="BG2" s="109" t="s">
        <v>20</v>
      </c>
      <c r="BH2" s="109" t="s">
        <v>7</v>
      </c>
      <c r="BI2" s="109" t="s">
        <v>21</v>
      </c>
      <c r="BJ2" s="109" t="s">
        <v>8</v>
      </c>
      <c r="BK2" s="109" t="s">
        <v>9</v>
      </c>
      <c r="BL2" s="109" t="s">
        <v>10</v>
      </c>
      <c r="BM2" s="109" t="s">
        <v>11</v>
      </c>
      <c r="BN2" s="109" t="s">
        <v>12</v>
      </c>
      <c r="BO2" s="109" t="s">
        <v>22</v>
      </c>
      <c r="BP2" s="109" t="s">
        <v>13</v>
      </c>
      <c r="BQ2" s="109"/>
      <c r="BR2" s="109" t="s">
        <v>23</v>
      </c>
      <c r="BS2" s="109" t="s">
        <v>15</v>
      </c>
      <c r="BT2" s="110" t="s">
        <v>16</v>
      </c>
      <c r="BU2" s="19" t="s">
        <v>24</v>
      </c>
      <c r="BV2" s="19" t="s">
        <v>17</v>
      </c>
      <c r="BW2" s="19"/>
      <c r="BX2" s="21" t="s">
        <v>18</v>
      </c>
      <c r="BZ2" s="22" t="s">
        <v>25</v>
      </c>
      <c r="CA2" s="22" t="s">
        <v>26</v>
      </c>
      <c r="CB2" s="22" t="s">
        <v>27</v>
      </c>
      <c r="CC2" s="22" t="s">
        <v>28</v>
      </c>
      <c r="CD2" s="22" t="s">
        <v>29</v>
      </c>
      <c r="CE2" s="22" t="s">
        <v>30</v>
      </c>
      <c r="CG2">
        <v>220</v>
      </c>
      <c r="CI2">
        <v>280</v>
      </c>
      <c r="CK2">
        <v>400</v>
      </c>
      <c r="CM2" s="5" t="s">
        <v>31</v>
      </c>
      <c r="CO2" s="7" t="s">
        <v>4</v>
      </c>
      <c r="CP2" s="7" t="s">
        <v>5</v>
      </c>
      <c r="CQ2" s="8" t="s">
        <v>6</v>
      </c>
      <c r="CR2" s="8" t="s">
        <v>7</v>
      </c>
      <c r="CS2" s="8" t="s">
        <v>8</v>
      </c>
      <c r="CT2" s="8" t="s">
        <v>9</v>
      </c>
      <c r="CU2" s="8" t="s">
        <v>10</v>
      </c>
      <c r="CV2" s="20" t="s">
        <v>11</v>
      </c>
      <c r="CW2" s="20" t="s">
        <v>12</v>
      </c>
      <c r="CX2" s="20" t="s">
        <v>13</v>
      </c>
      <c r="CY2" s="20"/>
      <c r="CZ2" s="20" t="s">
        <v>23</v>
      </c>
      <c r="DA2" s="20" t="s">
        <v>15</v>
      </c>
      <c r="DB2" s="20" t="s">
        <v>16</v>
      </c>
      <c r="DC2" s="20" t="s">
        <v>17</v>
      </c>
      <c r="DD2" s="20"/>
      <c r="DE2" s="117" t="s">
        <v>18</v>
      </c>
      <c r="DT2" s="23" t="s">
        <v>17</v>
      </c>
      <c r="DU2" s="23" t="s">
        <v>18</v>
      </c>
    </row>
    <row r="3" spans="1:109" ht="16.5" thickBot="1">
      <c r="A3" s="28" t="s">
        <v>214</v>
      </c>
      <c r="B3" s="28" t="s">
        <v>220</v>
      </c>
      <c r="C3" s="171">
        <v>1</v>
      </c>
      <c r="D3" s="121" t="s">
        <v>216</v>
      </c>
      <c r="E3" s="185" t="s">
        <v>32</v>
      </c>
      <c r="F3" s="174"/>
      <c r="G3" s="175">
        <v>2</v>
      </c>
      <c r="H3" s="176">
        <v>1</v>
      </c>
      <c r="I3" s="176"/>
      <c r="J3" s="176">
        <v>2</v>
      </c>
      <c r="K3" s="176">
        <v>3</v>
      </c>
      <c r="L3" s="175"/>
      <c r="M3" s="175"/>
      <c r="N3" s="175"/>
      <c r="O3" s="175"/>
      <c r="P3" s="175"/>
      <c r="Q3" s="175"/>
      <c r="R3" s="175"/>
      <c r="S3" s="175"/>
      <c r="T3" s="175"/>
      <c r="U3" s="185" t="s">
        <v>32</v>
      </c>
      <c r="V3" s="175">
        <v>1</v>
      </c>
      <c r="W3" s="176"/>
      <c r="X3" s="176">
        <v>2</v>
      </c>
      <c r="Y3" s="176">
        <v>3</v>
      </c>
      <c r="Z3" s="175">
        <v>1</v>
      </c>
      <c r="AA3" s="175">
        <v>2</v>
      </c>
      <c r="AB3" s="175"/>
      <c r="AC3" s="175"/>
      <c r="AD3" s="175"/>
      <c r="AE3" s="175"/>
      <c r="AF3" s="175"/>
      <c r="AG3" s="175"/>
      <c r="AH3" s="175"/>
      <c r="AI3" s="175"/>
      <c r="AJ3" s="175"/>
      <c r="AK3" s="185" t="s">
        <v>32</v>
      </c>
      <c r="AL3" s="186"/>
      <c r="AM3" s="204">
        <v>1</v>
      </c>
      <c r="AN3" s="204">
        <v>6</v>
      </c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90"/>
      <c r="BB3" s="116">
        <f>COUNTIF(E3:AZ3,"P")</f>
        <v>3</v>
      </c>
      <c r="BC3" s="105">
        <f aca="true" t="shared" si="0" ref="BC3:BC20">SUM(F3,V3,AL3)</f>
        <v>1</v>
      </c>
      <c r="BD3" s="106">
        <f aca="true" t="shared" si="1" ref="BD3:BD20">SUM(G3,W3,AM3)</f>
        <v>3</v>
      </c>
      <c r="BE3" s="106">
        <f>SUM(BC3:BD3)</f>
        <v>4</v>
      </c>
      <c r="BF3" s="106">
        <f aca="true" t="shared" si="2" ref="BF3:BF20">SUM(H3,X3,AN3)</f>
        <v>9</v>
      </c>
      <c r="BG3" s="106">
        <f>SUM(BE3:BF3)</f>
        <v>13</v>
      </c>
      <c r="BH3" s="106">
        <f aca="true" t="shared" si="3" ref="BH3:BH20">SUM(I3,Y3,AO3)</f>
        <v>3</v>
      </c>
      <c r="BI3" s="106">
        <f>BC3+BD3+BF3+BH3</f>
        <v>16</v>
      </c>
      <c r="BJ3" s="106">
        <f aca="true" t="shared" si="4" ref="BJ3:BJ20">SUM(J3,Z3,AP3)</f>
        <v>3</v>
      </c>
      <c r="BK3" s="106">
        <f aca="true" t="shared" si="5" ref="BK3:BK20">SUM(K3,AA3,AQ3)</f>
        <v>5</v>
      </c>
      <c r="BL3" s="106">
        <f aca="true" t="shared" si="6" ref="BL3:BL20">SUM(L3,AB3,AR3)</f>
        <v>0</v>
      </c>
      <c r="BM3" s="106">
        <f aca="true" t="shared" si="7" ref="BM3:BM20">SUM(AS3,AC3,M3)</f>
        <v>0</v>
      </c>
      <c r="BN3" s="106">
        <f aca="true" t="shared" si="8" ref="BN3:BN20">SUM(AT3,AD3,N3)</f>
        <v>0</v>
      </c>
      <c r="BO3" s="106">
        <f>SUM(BM3:BN3)</f>
        <v>0</v>
      </c>
      <c r="BP3" s="106">
        <f aca="true" t="shared" si="9" ref="BP3:BP20">SUM(AU3,AE3,O3)</f>
        <v>0</v>
      </c>
      <c r="BQ3" s="106">
        <f aca="true" t="shared" si="10" ref="BQ3:BQ20">SUM(AV3,AF3,P3)</f>
        <v>0</v>
      </c>
      <c r="BR3" s="106">
        <f>IF(BQ3&gt;=3,3,BQ3)</f>
        <v>0</v>
      </c>
      <c r="BS3" s="106">
        <f aca="true" t="shared" si="11" ref="BS3:BS20">SUM(AW3,AG3,Q3)</f>
        <v>0</v>
      </c>
      <c r="BT3" s="106">
        <f aca="true" t="shared" si="12" ref="BT3:BT20">SUM(AX3,AH3,R3)</f>
        <v>0</v>
      </c>
      <c r="BU3" s="106">
        <f>SUM(BS3:BT3)</f>
        <v>0</v>
      </c>
      <c r="BV3" s="106">
        <f aca="true" t="shared" si="13" ref="BV3:BV20">SUM(AY3,AI3,S3)</f>
        <v>0</v>
      </c>
      <c r="BW3" s="107">
        <f aca="true" t="shared" si="14" ref="BW3:BW20">SUM(AZ3,AJ3,T3)</f>
        <v>0</v>
      </c>
      <c r="BX3" s="107">
        <f>IF(BW3&gt;=3,3,BW3)</f>
        <v>0</v>
      </c>
      <c r="BY3" s="24"/>
      <c r="BZ3" s="111">
        <f>(BC3*100)+(BD3*80)+(BF3*60)+(BH3*40)+(BJ3*20)</f>
        <v>1060</v>
      </c>
      <c r="CA3" s="112">
        <f>IF(BK3&gt;3,30,BK3*10)</f>
        <v>30</v>
      </c>
      <c r="CB3" s="112">
        <f>IF(BL3&gt;3,15,BL3*5)</f>
        <v>0</v>
      </c>
      <c r="CC3" s="112">
        <f>(BM3*200)+(BN3*100)+(BP3*50)+(BR3*20)</f>
        <v>0</v>
      </c>
      <c r="CD3" s="112">
        <f>(BS3*100)+(BT3*50)+(BV3*25)+(BX3*10)</f>
        <v>0</v>
      </c>
      <c r="CE3" s="113">
        <f>IF(BB3&gt;0,SUM(BZ3:CD3),"")</f>
        <v>1090</v>
      </c>
      <c r="CF3" s="29">
        <f aca="true" t="shared" si="15" ref="CF3:CF21">$CE3-(($CG$2/3)*$BB3)</f>
        <v>870</v>
      </c>
      <c r="CG3" s="24">
        <f>IF(BB3=0," ",IF(CF3&gt;=0,3,"NAO"))</f>
        <v>3</v>
      </c>
      <c r="CH3" s="29">
        <f aca="true" t="shared" si="16" ref="CH3:CH21">$CE3-(($CI$2/3)*$BB3)</f>
        <v>810</v>
      </c>
      <c r="CI3" s="24">
        <f>IF(BB3=0," ",IF(CH3&gt;=0,4,"NAO"))</f>
        <v>4</v>
      </c>
      <c r="CJ3" s="29">
        <f aca="true" t="shared" si="17" ref="CJ3:CJ21">$CE3-(($CK$2/3)*$BB3)</f>
        <v>690</v>
      </c>
      <c r="CK3" s="24">
        <f>IF(BB3=0," ",IF(CJ3&gt;=0,5,"NAO"))</f>
        <v>5</v>
      </c>
      <c r="CM3" s="114">
        <f aca="true" t="shared" si="18" ref="CM3:CM21">(CE3/(SUM($CE$3:$CE$21))*100)</f>
        <v>8.147400680195837</v>
      </c>
      <c r="CN3" s="84"/>
      <c r="CO3" s="118">
        <f aca="true" t="shared" si="19" ref="CO3:CO21">BC3/(SUM(BC$3:BC$21)/100)</f>
        <v>4.761904761904762</v>
      </c>
      <c r="CP3" s="118">
        <f aca="true" t="shared" si="20" ref="CP3:CP21">BD3/(SUM(BD$3:BD$21)/100)</f>
        <v>9.09090909090909</v>
      </c>
      <c r="CQ3" s="118">
        <f aca="true" t="shared" si="21" ref="CQ3:CQ21">BF3/(SUM(BF$3:BF$21)/100)</f>
        <v>10.465116279069768</v>
      </c>
      <c r="CR3" s="118">
        <f aca="true" t="shared" si="22" ref="CR3:CR21">BH3/(SUM(BH$3:BH$21)/100)</f>
        <v>4.761904761904762</v>
      </c>
      <c r="CS3" s="118">
        <f aca="true" t="shared" si="23" ref="CS3:CS21">BJ3/(SUM(BJ$3:BJ$21)/100)</f>
        <v>17.64705882352941</v>
      </c>
      <c r="CT3" s="118">
        <f aca="true" t="shared" si="24" ref="CT3:CT21">BK3/(SUM(BK$3:BK$21)/100)</f>
        <v>10.869565217391305</v>
      </c>
      <c r="CU3" s="118">
        <f aca="true" t="shared" si="25" ref="CU3:CU21">BL3/(SUM(BL$3:BL$21)/100)</f>
        <v>0</v>
      </c>
      <c r="CV3" s="118" t="e">
        <f aca="true" t="shared" si="26" ref="CV3:CV21">BM3/(SUM(BM$3:BM$21)/100)</f>
        <v>#DIV/0!</v>
      </c>
      <c r="CW3" s="118">
        <f aca="true" t="shared" si="27" ref="CW3:CW21">BN3/(SUM(BN$3:BN$21)/100)</f>
        <v>0</v>
      </c>
      <c r="CX3" s="118" t="e">
        <f aca="true" t="shared" si="28" ref="CX3:CX21">BP3/(SUM(BP$3:BP$21)/100)</f>
        <v>#DIV/0!</v>
      </c>
      <c r="CY3" s="118">
        <f aca="true" t="shared" si="29" ref="CY3:CY21">BQ3/(SUM(BQ$3:BQ$21)/100)</f>
        <v>0</v>
      </c>
      <c r="CZ3" s="118">
        <f aca="true" t="shared" si="30" ref="CZ3:CZ21">BR3/(SUM(BR$3:BR$21)/100)</f>
        <v>0</v>
      </c>
      <c r="DA3" s="118" t="e">
        <f aca="true" t="shared" si="31" ref="DA3:DA21">BS3/(SUM(BS$3:BS$21)/100)</f>
        <v>#DIV/0!</v>
      </c>
      <c r="DB3" s="118">
        <f aca="true" t="shared" si="32" ref="DB3:DB21">BT3/(SUM(BT$3:BT$21)/100)</f>
        <v>0</v>
      </c>
      <c r="DC3" s="118">
        <f aca="true" t="shared" si="33" ref="DC3:DC21">BV3/(SUM(BV$3:BV$21)/100)</f>
        <v>0</v>
      </c>
      <c r="DD3" s="118">
        <f aca="true" t="shared" si="34" ref="DD3:DD21">BW3/(SUM(BW$3:BW$21)/100)</f>
        <v>0</v>
      </c>
      <c r="DE3" s="118">
        <f aca="true" t="shared" si="35" ref="DE3:DE21">BX3/(SUM(BX$3:BX$21)/100)</f>
        <v>0</v>
      </c>
    </row>
    <row r="4" spans="1:109" ht="16.5" thickBot="1">
      <c r="A4" s="28" t="s">
        <v>214</v>
      </c>
      <c r="B4" s="28" t="s">
        <v>220</v>
      </c>
      <c r="C4" s="171">
        <v>2</v>
      </c>
      <c r="D4" s="121" t="s">
        <v>217</v>
      </c>
      <c r="E4" s="187" t="s">
        <v>32</v>
      </c>
      <c r="F4" s="174"/>
      <c r="G4" s="175"/>
      <c r="H4" s="176"/>
      <c r="I4" s="176">
        <v>2</v>
      </c>
      <c r="J4" s="176"/>
      <c r="K4" s="176"/>
      <c r="L4" s="175"/>
      <c r="M4" s="175"/>
      <c r="N4" s="175"/>
      <c r="O4" s="175"/>
      <c r="P4" s="175"/>
      <c r="Q4" s="175"/>
      <c r="R4" s="175">
        <v>1</v>
      </c>
      <c r="S4" s="175">
        <v>2</v>
      </c>
      <c r="T4" s="175"/>
      <c r="U4" s="187" t="s">
        <v>32</v>
      </c>
      <c r="V4" s="175"/>
      <c r="W4" s="176"/>
      <c r="X4" s="176">
        <v>1</v>
      </c>
      <c r="Y4" s="176">
        <v>5</v>
      </c>
      <c r="Z4" s="175">
        <v>1</v>
      </c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87" t="s">
        <v>32</v>
      </c>
      <c r="AL4" s="186"/>
      <c r="AM4" s="204"/>
      <c r="AN4" s="204">
        <v>3</v>
      </c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>
        <v>1</v>
      </c>
      <c r="AZ4" s="204"/>
      <c r="BA4" s="290"/>
      <c r="BB4" s="116">
        <f>COUNTIF(E4:AZ4,"P")</f>
        <v>3</v>
      </c>
      <c r="BC4" s="105">
        <f t="shared" si="0"/>
        <v>0</v>
      </c>
      <c r="BD4" s="106">
        <f t="shared" si="1"/>
        <v>0</v>
      </c>
      <c r="BE4" s="106">
        <f>SUM(BC4:BD4)</f>
        <v>0</v>
      </c>
      <c r="BF4" s="106">
        <f t="shared" si="2"/>
        <v>4</v>
      </c>
      <c r="BG4" s="106">
        <f>SUM(BE4:BF4)</f>
        <v>4</v>
      </c>
      <c r="BH4" s="106">
        <f t="shared" si="3"/>
        <v>7</v>
      </c>
      <c r="BI4" s="106">
        <f>BC4+BD4+BF4+BH4</f>
        <v>11</v>
      </c>
      <c r="BJ4" s="106">
        <f t="shared" si="4"/>
        <v>1</v>
      </c>
      <c r="BK4" s="106">
        <f t="shared" si="5"/>
        <v>0</v>
      </c>
      <c r="BL4" s="106">
        <f t="shared" si="6"/>
        <v>0</v>
      </c>
      <c r="BM4" s="106">
        <f t="shared" si="7"/>
        <v>0</v>
      </c>
      <c r="BN4" s="106">
        <f t="shared" si="8"/>
        <v>0</v>
      </c>
      <c r="BO4" s="106">
        <f>SUM(BM4:BN4)</f>
        <v>0</v>
      </c>
      <c r="BP4" s="106">
        <f t="shared" si="9"/>
        <v>0</v>
      </c>
      <c r="BQ4" s="106">
        <f t="shared" si="10"/>
        <v>0</v>
      </c>
      <c r="BR4" s="106">
        <f>IF(BQ4&gt;=3,3,BQ4)</f>
        <v>0</v>
      </c>
      <c r="BS4" s="106">
        <f t="shared" si="11"/>
        <v>0</v>
      </c>
      <c r="BT4" s="106">
        <f t="shared" si="12"/>
        <v>1</v>
      </c>
      <c r="BU4" s="106">
        <f>SUM(BS4:BT4)</f>
        <v>1</v>
      </c>
      <c r="BV4" s="106">
        <f t="shared" si="13"/>
        <v>3</v>
      </c>
      <c r="BW4" s="107">
        <f t="shared" si="14"/>
        <v>0</v>
      </c>
      <c r="BX4" s="107">
        <f>IF(BW4&gt;=3,3,BW4)</f>
        <v>0</v>
      </c>
      <c r="BY4" s="24"/>
      <c r="BZ4" s="111">
        <f>(BC4*100)+(BD4*80)+(BF4*60)+(BH4*40)+(BJ4*20)</f>
        <v>540</v>
      </c>
      <c r="CA4" s="112">
        <f>IF(BK4&gt;3,30,BK4*10)</f>
        <v>0</v>
      </c>
      <c r="CB4" s="112">
        <f>IF(BL4&gt;3,15,BL4*5)</f>
        <v>0</v>
      </c>
      <c r="CC4" s="112">
        <f>(BM4*200)+(BN4*100)+(BP4*50)+(BR4*20)</f>
        <v>0</v>
      </c>
      <c r="CD4" s="112">
        <f>(BS4*100)+(BT4*50)+(BV4*25)+(BX4*10)</f>
        <v>125</v>
      </c>
      <c r="CE4" s="113">
        <f>IF(BB4&gt;0,SUM(BZ4:CD4),"")</f>
        <v>665</v>
      </c>
      <c r="CF4" s="29">
        <f t="shared" si="15"/>
        <v>445</v>
      </c>
      <c r="CG4" s="24">
        <f>IF(BB4=0," ",IF(CF4&gt;=0,3,"NAO"))</f>
        <v>3</v>
      </c>
      <c r="CH4" s="29">
        <f t="shared" si="16"/>
        <v>385</v>
      </c>
      <c r="CI4" s="24">
        <f>IF(BB4=0," ",IF(CH4&gt;=0,4,"NAO"))</f>
        <v>4</v>
      </c>
      <c r="CJ4" s="29">
        <f t="shared" si="17"/>
        <v>265</v>
      </c>
      <c r="CK4" s="24">
        <f>IF(BB4=0," ",IF(CJ4&gt;=0,5,"NAO"))</f>
        <v>5</v>
      </c>
      <c r="CM4" s="115">
        <f t="shared" si="18"/>
        <v>4.970661882871772</v>
      </c>
      <c r="CN4" s="84"/>
      <c r="CO4" s="118">
        <f t="shared" si="19"/>
        <v>0</v>
      </c>
      <c r="CP4" s="118">
        <f t="shared" si="20"/>
        <v>0</v>
      </c>
      <c r="CQ4" s="118">
        <f t="shared" si="21"/>
        <v>4.651162790697675</v>
      </c>
      <c r="CR4" s="118">
        <f t="shared" si="22"/>
        <v>11.11111111111111</v>
      </c>
      <c r="CS4" s="118">
        <f t="shared" si="23"/>
        <v>5.88235294117647</v>
      </c>
      <c r="CT4" s="118">
        <f t="shared" si="24"/>
        <v>0</v>
      </c>
      <c r="CU4" s="118">
        <f t="shared" si="25"/>
        <v>0</v>
      </c>
      <c r="CV4" s="118" t="e">
        <f t="shared" si="26"/>
        <v>#DIV/0!</v>
      </c>
      <c r="CW4" s="118">
        <f t="shared" si="27"/>
        <v>0</v>
      </c>
      <c r="CX4" s="118" t="e">
        <f t="shared" si="28"/>
        <v>#DIV/0!</v>
      </c>
      <c r="CY4" s="118">
        <f t="shared" si="29"/>
        <v>0</v>
      </c>
      <c r="CZ4" s="118">
        <f t="shared" si="30"/>
        <v>0</v>
      </c>
      <c r="DA4" s="118" t="e">
        <f t="shared" si="31"/>
        <v>#DIV/0!</v>
      </c>
      <c r="DB4" s="118">
        <f t="shared" si="32"/>
        <v>100</v>
      </c>
      <c r="DC4" s="118">
        <f t="shared" si="33"/>
        <v>58.82352941176471</v>
      </c>
      <c r="DD4" s="118">
        <f t="shared" si="34"/>
        <v>0</v>
      </c>
      <c r="DE4" s="118">
        <f t="shared" si="35"/>
        <v>0</v>
      </c>
    </row>
    <row r="5" spans="1:109" ht="16.5" thickBot="1">
      <c r="A5" s="28" t="s">
        <v>214</v>
      </c>
      <c r="B5" s="28" t="s">
        <v>220</v>
      </c>
      <c r="C5" s="171">
        <v>3</v>
      </c>
      <c r="D5" s="121" t="s">
        <v>218</v>
      </c>
      <c r="E5" s="187" t="s">
        <v>219</v>
      </c>
      <c r="F5" s="174"/>
      <c r="G5" s="213">
        <v>1</v>
      </c>
      <c r="H5" s="176"/>
      <c r="I5" s="176"/>
      <c r="J5" s="176"/>
      <c r="K5" s="176"/>
      <c r="L5" s="175"/>
      <c r="M5" s="175"/>
      <c r="N5" s="175"/>
      <c r="O5" s="175"/>
      <c r="P5" s="175"/>
      <c r="Q5" s="175"/>
      <c r="R5" s="175"/>
      <c r="S5" s="175"/>
      <c r="T5" s="175"/>
      <c r="U5" s="187" t="s">
        <v>219</v>
      </c>
      <c r="V5" s="175"/>
      <c r="W5" s="176"/>
      <c r="X5" s="213">
        <v>1</v>
      </c>
      <c r="Y5" s="176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87" t="s">
        <v>219</v>
      </c>
      <c r="AL5" s="210"/>
      <c r="AM5" s="204">
        <v>1</v>
      </c>
      <c r="AN5" s="206"/>
      <c r="AO5" s="204">
        <v>1</v>
      </c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>
        <v>1</v>
      </c>
      <c r="BA5" s="290"/>
      <c r="BB5" s="116">
        <f aca="true" t="shared" si="36" ref="BB5:BB20">COUNTIF(E5:AZ5,"P")</f>
        <v>0</v>
      </c>
      <c r="BC5" s="105">
        <f t="shared" si="0"/>
        <v>0</v>
      </c>
      <c r="BD5" s="106">
        <f t="shared" si="1"/>
        <v>2</v>
      </c>
      <c r="BE5" s="106">
        <f aca="true" t="shared" si="37" ref="BE5:BE20">SUM(BC5:BD5)</f>
        <v>2</v>
      </c>
      <c r="BF5" s="106">
        <f t="shared" si="2"/>
        <v>1</v>
      </c>
      <c r="BG5" s="106">
        <f aca="true" t="shared" si="38" ref="BG5:BG20">SUM(BE5:BF5)</f>
        <v>3</v>
      </c>
      <c r="BH5" s="106">
        <f t="shared" si="3"/>
        <v>1</v>
      </c>
      <c r="BI5" s="106">
        <f aca="true" t="shared" si="39" ref="BI5:BI20">BC5+BD5+BF5+BH5</f>
        <v>4</v>
      </c>
      <c r="BJ5" s="106">
        <f t="shared" si="4"/>
        <v>0</v>
      </c>
      <c r="BK5" s="106">
        <f t="shared" si="5"/>
        <v>0</v>
      </c>
      <c r="BL5" s="106">
        <f t="shared" si="6"/>
        <v>0</v>
      </c>
      <c r="BM5" s="106">
        <f t="shared" si="7"/>
        <v>0</v>
      </c>
      <c r="BN5" s="106">
        <f t="shared" si="8"/>
        <v>0</v>
      </c>
      <c r="BO5" s="106">
        <f aca="true" t="shared" si="40" ref="BO5:BO20">SUM(BM5:BN5)</f>
        <v>0</v>
      </c>
      <c r="BP5" s="106">
        <f t="shared" si="9"/>
        <v>0</v>
      </c>
      <c r="BQ5" s="106">
        <f t="shared" si="10"/>
        <v>0</v>
      </c>
      <c r="BR5" s="106">
        <f aca="true" t="shared" si="41" ref="BR5:BR20">IF(BQ5&gt;=3,3,BQ5)</f>
        <v>0</v>
      </c>
      <c r="BS5" s="106">
        <f t="shared" si="11"/>
        <v>0</v>
      </c>
      <c r="BT5" s="106">
        <f t="shared" si="12"/>
        <v>0</v>
      </c>
      <c r="BU5" s="106">
        <f aca="true" t="shared" si="42" ref="BU5:BU20">SUM(BS5:BT5)</f>
        <v>0</v>
      </c>
      <c r="BV5" s="106">
        <f t="shared" si="13"/>
        <v>0</v>
      </c>
      <c r="BW5" s="107">
        <f t="shared" si="14"/>
        <v>1</v>
      </c>
      <c r="BX5" s="107">
        <f aca="true" t="shared" si="43" ref="BX5:BX20">IF(BW5&gt;=3,3,BW5)</f>
        <v>1</v>
      </c>
      <c r="BY5" s="24"/>
      <c r="BZ5" s="111">
        <f aca="true" t="shared" si="44" ref="BZ5:BZ20">(BC5*100)+(BD5*80)+(BF5*60)+(BH5*40)+(BJ5*20)</f>
        <v>260</v>
      </c>
      <c r="CA5" s="112">
        <f aca="true" t="shared" si="45" ref="CA5:CA20">IF(BK5&gt;3,30,BK5*10)</f>
        <v>0</v>
      </c>
      <c r="CB5" s="112">
        <f aca="true" t="shared" si="46" ref="CB5:CB20">IF(BL5&gt;3,15,BL5*5)</f>
        <v>0</v>
      </c>
      <c r="CC5" s="112">
        <f aca="true" t="shared" si="47" ref="CC5:CC20">(BM5*200)+(BN5*100)+(BP5*50)+(BR5*20)</f>
        <v>0</v>
      </c>
      <c r="CD5" s="112">
        <f aca="true" t="shared" si="48" ref="CD5:CD20">(BS5*100)+(BT5*50)+(BV5*25)+(BX5*10)</f>
        <v>10</v>
      </c>
      <c r="CE5" s="113">
        <f aca="true" t="shared" si="49" ref="CE5:CE20">IF(BB5&gt;0,SUM(BZ5:CD5),"")</f>
      </c>
      <c r="CF5" s="29" t="e">
        <f t="shared" si="15"/>
        <v>#VALUE!</v>
      </c>
      <c r="CG5" s="24" t="str">
        <f aca="true" t="shared" si="50" ref="CG5:CG20">IF(BB5=0," ",IF(CF5&gt;=0,3,"NAO"))</f>
        <v> </v>
      </c>
      <c r="CH5" s="29" t="e">
        <f t="shared" si="16"/>
        <v>#VALUE!</v>
      </c>
      <c r="CI5" s="24" t="str">
        <f aca="true" t="shared" si="51" ref="CI5:CI20">IF(BB5=0," ",IF(CH5&gt;=0,4,"NAO"))</f>
        <v> </v>
      </c>
      <c r="CJ5" s="29" t="e">
        <f t="shared" si="17"/>
        <v>#VALUE!</v>
      </c>
      <c r="CK5" s="24" t="str">
        <f aca="true" t="shared" si="52" ref="CK5:CK20">IF(BB5=0," ",IF(CJ5&gt;=0,5,"NAO"))</f>
        <v> </v>
      </c>
      <c r="CM5" s="115" t="e">
        <f t="shared" si="18"/>
        <v>#VALUE!</v>
      </c>
      <c r="CN5" s="84"/>
      <c r="CO5" s="118">
        <f t="shared" si="19"/>
        <v>0</v>
      </c>
      <c r="CP5" s="118">
        <f t="shared" si="20"/>
        <v>6.0606060606060606</v>
      </c>
      <c r="CQ5" s="118">
        <f t="shared" si="21"/>
        <v>1.1627906976744187</v>
      </c>
      <c r="CR5" s="118">
        <f t="shared" si="22"/>
        <v>1.5873015873015872</v>
      </c>
      <c r="CS5" s="118">
        <f t="shared" si="23"/>
        <v>0</v>
      </c>
      <c r="CT5" s="118">
        <f t="shared" si="24"/>
        <v>0</v>
      </c>
      <c r="CU5" s="118">
        <f t="shared" si="25"/>
        <v>0</v>
      </c>
      <c r="CV5" s="118" t="e">
        <f t="shared" si="26"/>
        <v>#DIV/0!</v>
      </c>
      <c r="CW5" s="118">
        <f t="shared" si="27"/>
        <v>0</v>
      </c>
      <c r="CX5" s="118" t="e">
        <f t="shared" si="28"/>
        <v>#DIV/0!</v>
      </c>
      <c r="CY5" s="118">
        <f t="shared" si="29"/>
        <v>0</v>
      </c>
      <c r="CZ5" s="118">
        <f t="shared" si="30"/>
        <v>0</v>
      </c>
      <c r="DA5" s="118" t="e">
        <f t="shared" si="31"/>
        <v>#DIV/0!</v>
      </c>
      <c r="DB5" s="118">
        <f t="shared" si="32"/>
        <v>0</v>
      </c>
      <c r="DC5" s="118">
        <f t="shared" si="33"/>
        <v>0</v>
      </c>
      <c r="DD5" s="118">
        <f t="shared" si="34"/>
        <v>3.215434083601286</v>
      </c>
      <c r="DE5" s="118">
        <f t="shared" si="35"/>
        <v>3.8314176245210727</v>
      </c>
    </row>
    <row r="6" spans="1:109" ht="16.5" thickBot="1">
      <c r="A6" s="28" t="s">
        <v>214</v>
      </c>
      <c r="B6" s="28" t="s">
        <v>215</v>
      </c>
      <c r="C6" s="171">
        <v>4</v>
      </c>
      <c r="D6" s="121" t="s">
        <v>221</v>
      </c>
      <c r="E6" s="187" t="s">
        <v>32</v>
      </c>
      <c r="F6" s="180"/>
      <c r="G6" s="181">
        <v>1</v>
      </c>
      <c r="H6" s="182">
        <v>2</v>
      </c>
      <c r="I6" s="182">
        <v>3</v>
      </c>
      <c r="J6" s="182"/>
      <c r="K6" s="182"/>
      <c r="L6" s="182"/>
      <c r="M6" s="181"/>
      <c r="N6" s="181"/>
      <c r="O6" s="178"/>
      <c r="P6" s="181"/>
      <c r="Q6" s="181"/>
      <c r="R6" s="178"/>
      <c r="S6" s="178"/>
      <c r="T6" s="178"/>
      <c r="U6" s="187" t="s">
        <v>32</v>
      </c>
      <c r="V6" s="181"/>
      <c r="W6" s="181">
        <v>1</v>
      </c>
      <c r="X6" s="182">
        <v>2</v>
      </c>
      <c r="Y6" s="182">
        <v>1</v>
      </c>
      <c r="Z6" s="182"/>
      <c r="AA6" s="181">
        <v>3</v>
      </c>
      <c r="AB6" s="181">
        <v>1</v>
      </c>
      <c r="AC6" s="181"/>
      <c r="AD6" s="181"/>
      <c r="AE6" s="181"/>
      <c r="AF6" s="181"/>
      <c r="AG6" s="181"/>
      <c r="AH6" s="181"/>
      <c r="AI6" s="181"/>
      <c r="AJ6" s="181"/>
      <c r="AK6" s="187" t="s">
        <v>32</v>
      </c>
      <c r="AL6" s="184"/>
      <c r="AM6" s="181">
        <v>2</v>
      </c>
      <c r="AN6" s="181">
        <v>1</v>
      </c>
      <c r="AO6" s="181">
        <v>1</v>
      </c>
      <c r="AP6" s="181">
        <v>1</v>
      </c>
      <c r="AQ6" s="181">
        <v>1</v>
      </c>
      <c r="AR6" s="181">
        <v>1</v>
      </c>
      <c r="AS6" s="181"/>
      <c r="AT6" s="181"/>
      <c r="AU6" s="181"/>
      <c r="AV6" s="181"/>
      <c r="AW6" s="181"/>
      <c r="AX6" s="181"/>
      <c r="AY6" s="181"/>
      <c r="AZ6" s="181">
        <v>1</v>
      </c>
      <c r="BA6" s="290"/>
      <c r="BB6" s="116">
        <f t="shared" si="36"/>
        <v>3</v>
      </c>
      <c r="BC6" s="105">
        <f t="shared" si="0"/>
        <v>0</v>
      </c>
      <c r="BD6" s="106">
        <f t="shared" si="1"/>
        <v>4</v>
      </c>
      <c r="BE6" s="106">
        <f t="shared" si="37"/>
        <v>4</v>
      </c>
      <c r="BF6" s="106">
        <f t="shared" si="2"/>
        <v>5</v>
      </c>
      <c r="BG6" s="106">
        <f t="shared" si="38"/>
        <v>9</v>
      </c>
      <c r="BH6" s="106">
        <f t="shared" si="3"/>
        <v>5</v>
      </c>
      <c r="BI6" s="106">
        <f t="shared" si="39"/>
        <v>14</v>
      </c>
      <c r="BJ6" s="106">
        <f t="shared" si="4"/>
        <v>1</v>
      </c>
      <c r="BK6" s="106">
        <f t="shared" si="5"/>
        <v>4</v>
      </c>
      <c r="BL6" s="106">
        <f t="shared" si="6"/>
        <v>2</v>
      </c>
      <c r="BM6" s="106">
        <f t="shared" si="7"/>
        <v>0</v>
      </c>
      <c r="BN6" s="106">
        <f t="shared" si="8"/>
        <v>0</v>
      </c>
      <c r="BO6" s="106">
        <f t="shared" si="40"/>
        <v>0</v>
      </c>
      <c r="BP6" s="106">
        <f t="shared" si="9"/>
        <v>0</v>
      </c>
      <c r="BQ6" s="106">
        <f t="shared" si="10"/>
        <v>0</v>
      </c>
      <c r="BR6" s="106">
        <f t="shared" si="41"/>
        <v>0</v>
      </c>
      <c r="BS6" s="106">
        <f t="shared" si="11"/>
        <v>0</v>
      </c>
      <c r="BT6" s="106">
        <f t="shared" si="12"/>
        <v>0</v>
      </c>
      <c r="BU6" s="106">
        <f t="shared" si="42"/>
        <v>0</v>
      </c>
      <c r="BV6" s="106">
        <f t="shared" si="13"/>
        <v>0</v>
      </c>
      <c r="BW6" s="107">
        <f t="shared" si="14"/>
        <v>1</v>
      </c>
      <c r="BX6" s="107">
        <f t="shared" si="43"/>
        <v>1</v>
      </c>
      <c r="BY6" s="24"/>
      <c r="BZ6" s="111">
        <f t="shared" si="44"/>
        <v>840</v>
      </c>
      <c r="CA6" s="112">
        <f t="shared" si="45"/>
        <v>30</v>
      </c>
      <c r="CB6" s="112">
        <f t="shared" si="46"/>
        <v>10</v>
      </c>
      <c r="CC6" s="112">
        <f t="shared" si="47"/>
        <v>0</v>
      </c>
      <c r="CD6" s="112">
        <f t="shared" si="48"/>
        <v>10</v>
      </c>
      <c r="CE6" s="113">
        <f t="shared" si="49"/>
        <v>890</v>
      </c>
      <c r="CF6" s="29">
        <f t="shared" si="15"/>
        <v>670</v>
      </c>
      <c r="CG6" s="24">
        <f t="shared" si="50"/>
        <v>3</v>
      </c>
      <c r="CH6" s="29">
        <f t="shared" si="16"/>
        <v>610</v>
      </c>
      <c r="CI6" s="24">
        <f t="shared" si="51"/>
        <v>4</v>
      </c>
      <c r="CJ6" s="29">
        <f t="shared" si="17"/>
        <v>490</v>
      </c>
      <c r="CK6" s="24">
        <f t="shared" si="52"/>
        <v>5</v>
      </c>
      <c r="CM6" s="115">
        <f t="shared" si="18"/>
        <v>6.6524647755727475</v>
      </c>
      <c r="CN6" s="84"/>
      <c r="CO6" s="118">
        <f t="shared" si="19"/>
        <v>0</v>
      </c>
      <c r="CP6" s="118">
        <f t="shared" si="20"/>
        <v>12.121212121212121</v>
      </c>
      <c r="CQ6" s="118">
        <f t="shared" si="21"/>
        <v>5.813953488372093</v>
      </c>
      <c r="CR6" s="118">
        <f t="shared" si="22"/>
        <v>7.936507936507937</v>
      </c>
      <c r="CS6" s="118">
        <f t="shared" si="23"/>
        <v>5.88235294117647</v>
      </c>
      <c r="CT6" s="118">
        <f t="shared" si="24"/>
        <v>8.695652173913043</v>
      </c>
      <c r="CU6" s="118">
        <f t="shared" si="25"/>
        <v>33.333333333333336</v>
      </c>
      <c r="CV6" s="118" t="e">
        <f t="shared" si="26"/>
        <v>#DIV/0!</v>
      </c>
      <c r="CW6" s="118">
        <f t="shared" si="27"/>
        <v>0</v>
      </c>
      <c r="CX6" s="118" t="e">
        <f t="shared" si="28"/>
        <v>#DIV/0!</v>
      </c>
      <c r="CY6" s="118">
        <f t="shared" si="29"/>
        <v>0</v>
      </c>
      <c r="CZ6" s="118">
        <f t="shared" si="30"/>
        <v>0</v>
      </c>
      <c r="DA6" s="118" t="e">
        <f t="shared" si="31"/>
        <v>#DIV/0!</v>
      </c>
      <c r="DB6" s="118">
        <f t="shared" si="32"/>
        <v>0</v>
      </c>
      <c r="DC6" s="118">
        <f t="shared" si="33"/>
        <v>0</v>
      </c>
      <c r="DD6" s="118">
        <f t="shared" si="34"/>
        <v>3.215434083601286</v>
      </c>
      <c r="DE6" s="118">
        <f t="shared" si="35"/>
        <v>3.8314176245210727</v>
      </c>
    </row>
    <row r="7" spans="1:109" ht="16.5" thickBot="1">
      <c r="A7" s="28" t="s">
        <v>214</v>
      </c>
      <c r="B7" s="28" t="s">
        <v>220</v>
      </c>
      <c r="C7" s="171">
        <v>5</v>
      </c>
      <c r="D7" s="121" t="s">
        <v>222</v>
      </c>
      <c r="E7" s="187" t="s">
        <v>219</v>
      </c>
      <c r="F7" s="205"/>
      <c r="G7" s="206"/>
      <c r="H7" s="206"/>
      <c r="I7" s="206">
        <v>1</v>
      </c>
      <c r="J7" s="206"/>
      <c r="K7" s="206"/>
      <c r="L7" s="203"/>
      <c r="M7" s="203"/>
      <c r="N7" s="203"/>
      <c r="O7" s="207"/>
      <c r="P7" s="207"/>
      <c r="Q7" s="203"/>
      <c r="R7" s="207"/>
      <c r="S7" s="207"/>
      <c r="T7" s="208"/>
      <c r="U7" s="187" t="s">
        <v>219</v>
      </c>
      <c r="V7" s="204"/>
      <c r="W7" s="204"/>
      <c r="X7" s="206">
        <v>1</v>
      </c>
      <c r="Y7" s="204"/>
      <c r="Z7" s="204">
        <v>2</v>
      </c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187" t="s">
        <v>219</v>
      </c>
      <c r="AL7" s="184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290"/>
      <c r="BB7" s="116">
        <f t="shared" si="36"/>
        <v>0</v>
      </c>
      <c r="BC7" s="105">
        <f t="shared" si="0"/>
        <v>0</v>
      </c>
      <c r="BD7" s="106">
        <f t="shared" si="1"/>
        <v>0</v>
      </c>
      <c r="BE7" s="106">
        <f t="shared" si="37"/>
        <v>0</v>
      </c>
      <c r="BF7" s="106">
        <f t="shared" si="2"/>
        <v>1</v>
      </c>
      <c r="BG7" s="106">
        <f t="shared" si="38"/>
        <v>1</v>
      </c>
      <c r="BH7" s="106">
        <f t="shared" si="3"/>
        <v>1</v>
      </c>
      <c r="BI7" s="106">
        <f t="shared" si="39"/>
        <v>2</v>
      </c>
      <c r="BJ7" s="106">
        <f t="shared" si="4"/>
        <v>2</v>
      </c>
      <c r="BK7" s="106">
        <f t="shared" si="5"/>
        <v>0</v>
      </c>
      <c r="BL7" s="106">
        <f t="shared" si="6"/>
        <v>0</v>
      </c>
      <c r="BM7" s="106">
        <f t="shared" si="7"/>
        <v>0</v>
      </c>
      <c r="BN7" s="106">
        <f t="shared" si="8"/>
        <v>0</v>
      </c>
      <c r="BO7" s="106">
        <f t="shared" si="40"/>
        <v>0</v>
      </c>
      <c r="BP7" s="106">
        <f t="shared" si="9"/>
        <v>0</v>
      </c>
      <c r="BQ7" s="106">
        <f t="shared" si="10"/>
        <v>0</v>
      </c>
      <c r="BR7" s="106">
        <f t="shared" si="41"/>
        <v>0</v>
      </c>
      <c r="BS7" s="106">
        <f t="shared" si="11"/>
        <v>0</v>
      </c>
      <c r="BT7" s="106">
        <f t="shared" si="12"/>
        <v>0</v>
      </c>
      <c r="BU7" s="106">
        <f t="shared" si="42"/>
        <v>0</v>
      </c>
      <c r="BV7" s="106">
        <f t="shared" si="13"/>
        <v>0</v>
      </c>
      <c r="BW7" s="107">
        <f t="shared" si="14"/>
        <v>0</v>
      </c>
      <c r="BX7" s="107">
        <f t="shared" si="43"/>
        <v>0</v>
      </c>
      <c r="BY7" s="24"/>
      <c r="BZ7" s="111">
        <f t="shared" si="44"/>
        <v>140</v>
      </c>
      <c r="CA7" s="112">
        <f t="shared" si="45"/>
        <v>0</v>
      </c>
      <c r="CB7" s="112">
        <f t="shared" si="46"/>
        <v>0</v>
      </c>
      <c r="CC7" s="112">
        <f t="shared" si="47"/>
        <v>0</v>
      </c>
      <c r="CD7" s="112">
        <f t="shared" si="48"/>
        <v>0</v>
      </c>
      <c r="CE7" s="113">
        <f t="shared" si="49"/>
      </c>
      <c r="CF7" s="29" t="e">
        <f t="shared" si="15"/>
        <v>#VALUE!</v>
      </c>
      <c r="CG7" s="24" t="str">
        <f t="shared" si="50"/>
        <v> </v>
      </c>
      <c r="CH7" s="29" t="e">
        <f t="shared" si="16"/>
        <v>#VALUE!</v>
      </c>
      <c r="CI7" s="24" t="str">
        <f t="shared" si="51"/>
        <v> </v>
      </c>
      <c r="CJ7" s="29" t="e">
        <f t="shared" si="17"/>
        <v>#VALUE!</v>
      </c>
      <c r="CK7" s="24" t="str">
        <f t="shared" si="52"/>
        <v> </v>
      </c>
      <c r="CM7" s="115" t="e">
        <f t="shared" si="18"/>
        <v>#VALUE!</v>
      </c>
      <c r="CN7" s="84"/>
      <c r="CO7" s="118">
        <f t="shared" si="19"/>
        <v>0</v>
      </c>
      <c r="CP7" s="118">
        <f t="shared" si="20"/>
        <v>0</v>
      </c>
      <c r="CQ7" s="118">
        <f t="shared" si="21"/>
        <v>1.1627906976744187</v>
      </c>
      <c r="CR7" s="118">
        <f t="shared" si="22"/>
        <v>1.5873015873015872</v>
      </c>
      <c r="CS7" s="118">
        <f t="shared" si="23"/>
        <v>11.76470588235294</v>
      </c>
      <c r="CT7" s="118">
        <f t="shared" si="24"/>
        <v>0</v>
      </c>
      <c r="CU7" s="118">
        <f t="shared" si="25"/>
        <v>0</v>
      </c>
      <c r="CV7" s="118" t="e">
        <f t="shared" si="26"/>
        <v>#DIV/0!</v>
      </c>
      <c r="CW7" s="118">
        <f t="shared" si="27"/>
        <v>0</v>
      </c>
      <c r="CX7" s="118" t="e">
        <f t="shared" si="28"/>
        <v>#DIV/0!</v>
      </c>
      <c r="CY7" s="118">
        <f t="shared" si="29"/>
        <v>0</v>
      </c>
      <c r="CZ7" s="118">
        <f t="shared" si="30"/>
        <v>0</v>
      </c>
      <c r="DA7" s="118" t="e">
        <f t="shared" si="31"/>
        <v>#DIV/0!</v>
      </c>
      <c r="DB7" s="118">
        <f t="shared" si="32"/>
        <v>0</v>
      </c>
      <c r="DC7" s="118">
        <f t="shared" si="33"/>
        <v>0</v>
      </c>
      <c r="DD7" s="118">
        <f t="shared" si="34"/>
        <v>0</v>
      </c>
      <c r="DE7" s="118">
        <f t="shared" si="35"/>
        <v>0</v>
      </c>
    </row>
    <row r="8" spans="1:109" ht="16.5" thickBot="1">
      <c r="A8" s="28" t="s">
        <v>214</v>
      </c>
      <c r="B8" s="28" t="s">
        <v>215</v>
      </c>
      <c r="C8" s="171">
        <v>6</v>
      </c>
      <c r="D8" s="121" t="s">
        <v>223</v>
      </c>
      <c r="E8" s="187" t="s">
        <v>219</v>
      </c>
      <c r="F8" s="180"/>
      <c r="G8" s="181"/>
      <c r="H8" s="181">
        <v>1</v>
      </c>
      <c r="I8" s="182"/>
      <c r="J8" s="181"/>
      <c r="K8" s="181"/>
      <c r="L8" s="181"/>
      <c r="M8" s="181"/>
      <c r="N8" s="181"/>
      <c r="O8" s="178"/>
      <c r="P8" s="181"/>
      <c r="Q8" s="181"/>
      <c r="R8" s="178"/>
      <c r="S8" s="178"/>
      <c r="T8" s="178"/>
      <c r="U8" s="187" t="s">
        <v>219</v>
      </c>
      <c r="V8" s="181"/>
      <c r="W8" s="181"/>
      <c r="X8" s="178"/>
      <c r="Y8" s="182">
        <v>1</v>
      </c>
      <c r="Z8" s="181"/>
      <c r="AA8" s="181">
        <v>1</v>
      </c>
      <c r="AB8" s="181"/>
      <c r="AC8" s="181"/>
      <c r="AD8" s="181"/>
      <c r="AE8" s="181"/>
      <c r="AF8" s="181"/>
      <c r="AG8" s="181"/>
      <c r="AH8" s="181"/>
      <c r="AI8" s="181"/>
      <c r="AJ8" s="181"/>
      <c r="AK8" s="187" t="s">
        <v>219</v>
      </c>
      <c r="AL8" s="184"/>
      <c r="AM8" s="181"/>
      <c r="AN8" s="182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290"/>
      <c r="BB8" s="116">
        <f t="shared" si="36"/>
        <v>0</v>
      </c>
      <c r="BC8" s="105">
        <f t="shared" si="0"/>
        <v>0</v>
      </c>
      <c r="BD8" s="106">
        <f t="shared" si="1"/>
        <v>0</v>
      </c>
      <c r="BE8" s="106">
        <f t="shared" si="37"/>
        <v>0</v>
      </c>
      <c r="BF8" s="106">
        <f t="shared" si="2"/>
        <v>1</v>
      </c>
      <c r="BG8" s="106">
        <f t="shared" si="38"/>
        <v>1</v>
      </c>
      <c r="BH8" s="106">
        <f t="shared" si="3"/>
        <v>1</v>
      </c>
      <c r="BI8" s="106">
        <f t="shared" si="39"/>
        <v>2</v>
      </c>
      <c r="BJ8" s="106">
        <f t="shared" si="4"/>
        <v>0</v>
      </c>
      <c r="BK8" s="106">
        <f t="shared" si="5"/>
        <v>1</v>
      </c>
      <c r="BL8" s="106">
        <f t="shared" si="6"/>
        <v>0</v>
      </c>
      <c r="BM8" s="106">
        <f t="shared" si="7"/>
        <v>0</v>
      </c>
      <c r="BN8" s="106">
        <f t="shared" si="8"/>
        <v>0</v>
      </c>
      <c r="BO8" s="106">
        <f t="shared" si="40"/>
        <v>0</v>
      </c>
      <c r="BP8" s="106">
        <f t="shared" si="9"/>
        <v>0</v>
      </c>
      <c r="BQ8" s="106">
        <f t="shared" si="10"/>
        <v>0</v>
      </c>
      <c r="BR8" s="106">
        <f t="shared" si="41"/>
        <v>0</v>
      </c>
      <c r="BS8" s="106">
        <f t="shared" si="11"/>
        <v>0</v>
      </c>
      <c r="BT8" s="106">
        <f t="shared" si="12"/>
        <v>0</v>
      </c>
      <c r="BU8" s="106">
        <f t="shared" si="42"/>
        <v>0</v>
      </c>
      <c r="BV8" s="106">
        <f t="shared" si="13"/>
        <v>0</v>
      </c>
      <c r="BW8" s="107">
        <f t="shared" si="14"/>
        <v>0</v>
      </c>
      <c r="BX8" s="107">
        <f t="shared" si="43"/>
        <v>0</v>
      </c>
      <c r="BY8" s="24"/>
      <c r="BZ8" s="111">
        <f t="shared" si="44"/>
        <v>100</v>
      </c>
      <c r="CA8" s="112">
        <f t="shared" si="45"/>
        <v>10</v>
      </c>
      <c r="CB8" s="112">
        <f t="shared" si="46"/>
        <v>0</v>
      </c>
      <c r="CC8" s="112">
        <f t="shared" si="47"/>
        <v>0</v>
      </c>
      <c r="CD8" s="112">
        <f t="shared" si="48"/>
        <v>0</v>
      </c>
      <c r="CE8" s="113">
        <f t="shared" si="49"/>
      </c>
      <c r="CF8" s="29" t="e">
        <f t="shared" si="15"/>
        <v>#VALUE!</v>
      </c>
      <c r="CG8" s="24" t="str">
        <f t="shared" si="50"/>
        <v> </v>
      </c>
      <c r="CH8" s="29" t="e">
        <f t="shared" si="16"/>
        <v>#VALUE!</v>
      </c>
      <c r="CI8" s="24" t="str">
        <f t="shared" si="51"/>
        <v> </v>
      </c>
      <c r="CJ8" s="29" t="e">
        <f t="shared" si="17"/>
        <v>#VALUE!</v>
      </c>
      <c r="CK8" s="24" t="str">
        <f t="shared" si="52"/>
        <v> </v>
      </c>
      <c r="CM8" s="115" t="e">
        <f t="shared" si="18"/>
        <v>#VALUE!</v>
      </c>
      <c r="CN8" s="84"/>
      <c r="CO8" s="118">
        <f t="shared" si="19"/>
        <v>0</v>
      </c>
      <c r="CP8" s="118">
        <f t="shared" si="20"/>
        <v>0</v>
      </c>
      <c r="CQ8" s="118">
        <f t="shared" si="21"/>
        <v>1.1627906976744187</v>
      </c>
      <c r="CR8" s="118">
        <f t="shared" si="22"/>
        <v>1.5873015873015872</v>
      </c>
      <c r="CS8" s="118">
        <f t="shared" si="23"/>
        <v>0</v>
      </c>
      <c r="CT8" s="118">
        <f t="shared" si="24"/>
        <v>2.1739130434782608</v>
      </c>
      <c r="CU8" s="118">
        <f t="shared" si="25"/>
        <v>0</v>
      </c>
      <c r="CV8" s="118" t="e">
        <f t="shared" si="26"/>
        <v>#DIV/0!</v>
      </c>
      <c r="CW8" s="118">
        <f t="shared" si="27"/>
        <v>0</v>
      </c>
      <c r="CX8" s="118" t="e">
        <f t="shared" si="28"/>
        <v>#DIV/0!</v>
      </c>
      <c r="CY8" s="118">
        <f t="shared" si="29"/>
        <v>0</v>
      </c>
      <c r="CZ8" s="118">
        <f t="shared" si="30"/>
        <v>0</v>
      </c>
      <c r="DA8" s="118" t="e">
        <f t="shared" si="31"/>
        <v>#DIV/0!</v>
      </c>
      <c r="DB8" s="118">
        <f t="shared" si="32"/>
        <v>0</v>
      </c>
      <c r="DC8" s="118">
        <f t="shared" si="33"/>
        <v>0</v>
      </c>
      <c r="DD8" s="118">
        <f t="shared" si="34"/>
        <v>0</v>
      </c>
      <c r="DE8" s="118">
        <f t="shared" si="35"/>
        <v>0</v>
      </c>
    </row>
    <row r="9" spans="1:109" ht="16.5" thickBot="1">
      <c r="A9" s="28" t="s">
        <v>214</v>
      </c>
      <c r="B9" s="28" t="s">
        <v>220</v>
      </c>
      <c r="C9" s="171">
        <v>7</v>
      </c>
      <c r="D9" s="121" t="s">
        <v>224</v>
      </c>
      <c r="E9" s="187" t="s">
        <v>32</v>
      </c>
      <c r="F9" s="200"/>
      <c r="G9" s="201">
        <v>1</v>
      </c>
      <c r="H9" s="176"/>
      <c r="I9" s="176">
        <v>1</v>
      </c>
      <c r="J9" s="176">
        <v>1</v>
      </c>
      <c r="K9" s="176"/>
      <c r="L9" s="201"/>
      <c r="M9" s="201"/>
      <c r="N9" s="201">
        <v>1</v>
      </c>
      <c r="O9" s="201"/>
      <c r="P9" s="201"/>
      <c r="Q9" s="201"/>
      <c r="R9" s="201"/>
      <c r="S9" s="201"/>
      <c r="T9" s="201">
        <v>2</v>
      </c>
      <c r="U9" s="187" t="s">
        <v>32</v>
      </c>
      <c r="V9" s="175"/>
      <c r="W9" s="176">
        <v>1</v>
      </c>
      <c r="X9" s="176"/>
      <c r="Y9" s="176"/>
      <c r="Z9" s="175">
        <v>3</v>
      </c>
      <c r="AA9" s="175">
        <v>1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87" t="s">
        <v>32</v>
      </c>
      <c r="AL9" s="186"/>
      <c r="AM9" s="204">
        <v>2</v>
      </c>
      <c r="AN9" s="204"/>
      <c r="AO9" s="204"/>
      <c r="AP9" s="204">
        <v>1</v>
      </c>
      <c r="AQ9" s="204"/>
      <c r="AR9" s="204"/>
      <c r="AS9" s="204"/>
      <c r="AT9" s="204"/>
      <c r="AU9" s="204"/>
      <c r="AV9" s="204">
        <v>2</v>
      </c>
      <c r="AW9" s="204"/>
      <c r="AX9" s="204"/>
      <c r="AY9" s="204"/>
      <c r="AZ9" s="204">
        <v>3</v>
      </c>
      <c r="BA9" s="290"/>
      <c r="BB9" s="116">
        <f t="shared" si="36"/>
        <v>3</v>
      </c>
      <c r="BC9" s="105">
        <f t="shared" si="0"/>
        <v>0</v>
      </c>
      <c r="BD9" s="106">
        <f t="shared" si="1"/>
        <v>4</v>
      </c>
      <c r="BE9" s="106">
        <f t="shared" si="37"/>
        <v>4</v>
      </c>
      <c r="BF9" s="106">
        <f t="shared" si="2"/>
        <v>0</v>
      </c>
      <c r="BG9" s="106">
        <f t="shared" si="38"/>
        <v>4</v>
      </c>
      <c r="BH9" s="106">
        <f t="shared" si="3"/>
        <v>1</v>
      </c>
      <c r="BI9" s="106">
        <f t="shared" si="39"/>
        <v>5</v>
      </c>
      <c r="BJ9" s="106">
        <f t="shared" si="4"/>
        <v>5</v>
      </c>
      <c r="BK9" s="106">
        <f t="shared" si="5"/>
        <v>1</v>
      </c>
      <c r="BL9" s="106">
        <f t="shared" si="6"/>
        <v>0</v>
      </c>
      <c r="BM9" s="106">
        <f t="shared" si="7"/>
        <v>0</v>
      </c>
      <c r="BN9" s="106">
        <f t="shared" si="8"/>
        <v>1</v>
      </c>
      <c r="BO9" s="106">
        <f t="shared" si="40"/>
        <v>1</v>
      </c>
      <c r="BP9" s="106">
        <f t="shared" si="9"/>
        <v>0</v>
      </c>
      <c r="BQ9" s="106">
        <f t="shared" si="10"/>
        <v>2</v>
      </c>
      <c r="BR9" s="106">
        <f t="shared" si="41"/>
        <v>2</v>
      </c>
      <c r="BS9" s="106">
        <f t="shared" si="11"/>
        <v>0</v>
      </c>
      <c r="BT9" s="106">
        <f t="shared" si="12"/>
        <v>0</v>
      </c>
      <c r="BU9" s="106">
        <f t="shared" si="42"/>
        <v>0</v>
      </c>
      <c r="BV9" s="106">
        <f t="shared" si="13"/>
        <v>0</v>
      </c>
      <c r="BW9" s="107">
        <f t="shared" si="14"/>
        <v>5</v>
      </c>
      <c r="BX9" s="107">
        <f t="shared" si="43"/>
        <v>3</v>
      </c>
      <c r="BY9" s="24"/>
      <c r="BZ9" s="111">
        <f t="shared" si="44"/>
        <v>460</v>
      </c>
      <c r="CA9" s="112">
        <f t="shared" si="45"/>
        <v>10</v>
      </c>
      <c r="CB9" s="112">
        <f t="shared" si="46"/>
        <v>0</v>
      </c>
      <c r="CC9" s="112">
        <f t="shared" si="47"/>
        <v>140</v>
      </c>
      <c r="CD9" s="112">
        <f t="shared" si="48"/>
        <v>30</v>
      </c>
      <c r="CE9" s="113">
        <f t="shared" si="49"/>
        <v>640</v>
      </c>
      <c r="CF9" s="29">
        <f t="shared" si="15"/>
        <v>420</v>
      </c>
      <c r="CG9" s="24">
        <f t="shared" si="50"/>
        <v>3</v>
      </c>
      <c r="CH9" s="29">
        <f t="shared" si="16"/>
        <v>360</v>
      </c>
      <c r="CI9" s="24">
        <f t="shared" si="51"/>
        <v>4</v>
      </c>
      <c r="CJ9" s="29">
        <f t="shared" si="17"/>
        <v>240</v>
      </c>
      <c r="CK9" s="24">
        <f t="shared" si="52"/>
        <v>5</v>
      </c>
      <c r="CM9" s="115">
        <f t="shared" si="18"/>
        <v>4.7837948947938855</v>
      </c>
      <c r="CN9" s="84"/>
      <c r="CO9" s="118">
        <f t="shared" si="19"/>
        <v>0</v>
      </c>
      <c r="CP9" s="118">
        <f t="shared" si="20"/>
        <v>12.121212121212121</v>
      </c>
      <c r="CQ9" s="118">
        <f t="shared" si="21"/>
        <v>0</v>
      </c>
      <c r="CR9" s="118">
        <f t="shared" si="22"/>
        <v>1.5873015873015872</v>
      </c>
      <c r="CS9" s="118">
        <f t="shared" si="23"/>
        <v>29.41176470588235</v>
      </c>
      <c r="CT9" s="118">
        <f t="shared" si="24"/>
        <v>2.1739130434782608</v>
      </c>
      <c r="CU9" s="118">
        <f t="shared" si="25"/>
        <v>0</v>
      </c>
      <c r="CV9" s="118" t="e">
        <f t="shared" si="26"/>
        <v>#DIV/0!</v>
      </c>
      <c r="CW9" s="118">
        <f t="shared" si="27"/>
        <v>33.333333333333336</v>
      </c>
      <c r="CX9" s="118" t="e">
        <f t="shared" si="28"/>
        <v>#DIV/0!</v>
      </c>
      <c r="CY9" s="118">
        <f t="shared" si="29"/>
        <v>40</v>
      </c>
      <c r="CZ9" s="118">
        <f t="shared" si="30"/>
        <v>40</v>
      </c>
      <c r="DA9" s="118" t="e">
        <f t="shared" si="31"/>
        <v>#DIV/0!</v>
      </c>
      <c r="DB9" s="118">
        <f t="shared" si="32"/>
        <v>0</v>
      </c>
      <c r="DC9" s="118">
        <f t="shared" si="33"/>
        <v>0</v>
      </c>
      <c r="DD9" s="118">
        <f t="shared" si="34"/>
        <v>16.077170418006432</v>
      </c>
      <c r="DE9" s="118">
        <f t="shared" si="35"/>
        <v>11.494252873563218</v>
      </c>
    </row>
    <row r="10" spans="1:109" ht="16.5" thickBot="1">
      <c r="A10" s="28" t="s">
        <v>214</v>
      </c>
      <c r="B10" s="28" t="s">
        <v>220</v>
      </c>
      <c r="C10" s="171">
        <v>8</v>
      </c>
      <c r="D10" s="121" t="s">
        <v>225</v>
      </c>
      <c r="E10" s="187" t="s">
        <v>32</v>
      </c>
      <c r="F10" s="200"/>
      <c r="G10" s="201"/>
      <c r="H10" s="176"/>
      <c r="I10" s="176"/>
      <c r="J10" s="176">
        <v>3</v>
      </c>
      <c r="K10" s="176"/>
      <c r="L10" s="201"/>
      <c r="M10" s="201"/>
      <c r="N10" s="201"/>
      <c r="O10" s="201"/>
      <c r="P10" s="201"/>
      <c r="Q10" s="201"/>
      <c r="R10" s="201"/>
      <c r="S10" s="201"/>
      <c r="T10" s="201"/>
      <c r="U10" s="187" t="s">
        <v>32</v>
      </c>
      <c r="V10" s="175">
        <v>1</v>
      </c>
      <c r="W10" s="176">
        <v>1</v>
      </c>
      <c r="X10" s="176">
        <v>4</v>
      </c>
      <c r="Y10" s="176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187" t="s">
        <v>32</v>
      </c>
      <c r="AL10" s="186">
        <v>1</v>
      </c>
      <c r="AM10" s="204">
        <v>1</v>
      </c>
      <c r="AN10" s="204">
        <v>4</v>
      </c>
      <c r="AO10" s="204">
        <v>2</v>
      </c>
      <c r="AP10" s="204"/>
      <c r="AQ10" s="204"/>
      <c r="AR10" s="204"/>
      <c r="AS10" s="204"/>
      <c r="AT10" s="204">
        <v>1</v>
      </c>
      <c r="AU10" s="204"/>
      <c r="AV10" s="204"/>
      <c r="AW10" s="204"/>
      <c r="AX10" s="204"/>
      <c r="AY10" s="204"/>
      <c r="AZ10" s="204"/>
      <c r="BA10" s="290"/>
      <c r="BB10" s="116">
        <f t="shared" si="36"/>
        <v>3</v>
      </c>
      <c r="BC10" s="105">
        <f t="shared" si="0"/>
        <v>2</v>
      </c>
      <c r="BD10" s="106">
        <f t="shared" si="1"/>
        <v>2</v>
      </c>
      <c r="BE10" s="106">
        <f t="shared" si="37"/>
        <v>4</v>
      </c>
      <c r="BF10" s="106">
        <f t="shared" si="2"/>
        <v>8</v>
      </c>
      <c r="BG10" s="106">
        <f t="shared" si="38"/>
        <v>12</v>
      </c>
      <c r="BH10" s="106">
        <f t="shared" si="3"/>
        <v>2</v>
      </c>
      <c r="BI10" s="106">
        <f t="shared" si="39"/>
        <v>14</v>
      </c>
      <c r="BJ10" s="106">
        <f t="shared" si="4"/>
        <v>3</v>
      </c>
      <c r="BK10" s="106">
        <f t="shared" si="5"/>
        <v>0</v>
      </c>
      <c r="BL10" s="106">
        <f t="shared" si="6"/>
        <v>0</v>
      </c>
      <c r="BM10" s="106">
        <f t="shared" si="7"/>
        <v>0</v>
      </c>
      <c r="BN10" s="106">
        <f t="shared" si="8"/>
        <v>1</v>
      </c>
      <c r="BO10" s="106">
        <f t="shared" si="40"/>
        <v>1</v>
      </c>
      <c r="BP10" s="106">
        <f t="shared" si="9"/>
        <v>0</v>
      </c>
      <c r="BQ10" s="106">
        <f t="shared" si="10"/>
        <v>0</v>
      </c>
      <c r="BR10" s="106">
        <f t="shared" si="41"/>
        <v>0</v>
      </c>
      <c r="BS10" s="106">
        <f t="shared" si="11"/>
        <v>0</v>
      </c>
      <c r="BT10" s="106">
        <f t="shared" si="12"/>
        <v>0</v>
      </c>
      <c r="BU10" s="106">
        <f t="shared" si="42"/>
        <v>0</v>
      </c>
      <c r="BV10" s="106">
        <f t="shared" si="13"/>
        <v>0</v>
      </c>
      <c r="BW10" s="107">
        <f t="shared" si="14"/>
        <v>0</v>
      </c>
      <c r="BX10" s="107">
        <f t="shared" si="43"/>
        <v>0</v>
      </c>
      <c r="BY10" s="24"/>
      <c r="BZ10" s="111">
        <f t="shared" si="44"/>
        <v>980</v>
      </c>
      <c r="CA10" s="112">
        <f t="shared" si="45"/>
        <v>0</v>
      </c>
      <c r="CB10" s="112">
        <f t="shared" si="46"/>
        <v>0</v>
      </c>
      <c r="CC10" s="112">
        <f t="shared" si="47"/>
        <v>100</v>
      </c>
      <c r="CD10" s="112">
        <f t="shared" si="48"/>
        <v>0</v>
      </c>
      <c r="CE10" s="113">
        <f t="shared" si="49"/>
        <v>1080</v>
      </c>
      <c r="CF10" s="29">
        <f t="shared" si="15"/>
        <v>860</v>
      </c>
      <c r="CG10" s="24">
        <f t="shared" si="50"/>
        <v>3</v>
      </c>
      <c r="CH10" s="29">
        <f t="shared" si="16"/>
        <v>800</v>
      </c>
      <c r="CI10" s="24">
        <f t="shared" si="51"/>
        <v>4</v>
      </c>
      <c r="CJ10" s="29">
        <f t="shared" si="17"/>
        <v>680</v>
      </c>
      <c r="CK10" s="24">
        <f t="shared" si="52"/>
        <v>5</v>
      </c>
      <c r="CM10" s="115">
        <f t="shared" si="18"/>
        <v>8.072653884964682</v>
      </c>
      <c r="CN10" s="84"/>
      <c r="CO10" s="118">
        <f t="shared" si="19"/>
        <v>9.523809523809524</v>
      </c>
      <c r="CP10" s="118">
        <f t="shared" si="20"/>
        <v>6.0606060606060606</v>
      </c>
      <c r="CQ10" s="118">
        <f t="shared" si="21"/>
        <v>9.30232558139535</v>
      </c>
      <c r="CR10" s="118">
        <f t="shared" si="22"/>
        <v>3.1746031746031744</v>
      </c>
      <c r="CS10" s="118">
        <f t="shared" si="23"/>
        <v>17.64705882352941</v>
      </c>
      <c r="CT10" s="118">
        <f t="shared" si="24"/>
        <v>0</v>
      </c>
      <c r="CU10" s="118">
        <f t="shared" si="25"/>
        <v>0</v>
      </c>
      <c r="CV10" s="118" t="e">
        <f t="shared" si="26"/>
        <v>#DIV/0!</v>
      </c>
      <c r="CW10" s="118">
        <f t="shared" si="27"/>
        <v>33.333333333333336</v>
      </c>
      <c r="CX10" s="118" t="e">
        <f t="shared" si="28"/>
        <v>#DIV/0!</v>
      </c>
      <c r="CY10" s="118">
        <f t="shared" si="29"/>
        <v>0</v>
      </c>
      <c r="CZ10" s="118">
        <f t="shared" si="30"/>
        <v>0</v>
      </c>
      <c r="DA10" s="118" t="e">
        <f t="shared" si="31"/>
        <v>#DIV/0!</v>
      </c>
      <c r="DB10" s="118">
        <f t="shared" si="32"/>
        <v>0</v>
      </c>
      <c r="DC10" s="118">
        <f t="shared" si="33"/>
        <v>0</v>
      </c>
      <c r="DD10" s="118">
        <f t="shared" si="34"/>
        <v>0</v>
      </c>
      <c r="DE10" s="118">
        <f t="shared" si="35"/>
        <v>0</v>
      </c>
    </row>
    <row r="11" spans="1:109" ht="16.5" thickBot="1">
      <c r="A11" s="28" t="s">
        <v>214</v>
      </c>
      <c r="B11" s="28" t="s">
        <v>215</v>
      </c>
      <c r="C11" s="171">
        <v>9</v>
      </c>
      <c r="D11" s="121" t="s">
        <v>226</v>
      </c>
      <c r="E11" s="187" t="s">
        <v>32</v>
      </c>
      <c r="F11" s="180"/>
      <c r="G11" s="181"/>
      <c r="H11" s="182">
        <v>2</v>
      </c>
      <c r="I11" s="182"/>
      <c r="J11" s="181"/>
      <c r="K11" s="181"/>
      <c r="L11" s="181">
        <v>1</v>
      </c>
      <c r="M11" s="181"/>
      <c r="N11" s="181"/>
      <c r="O11" s="181"/>
      <c r="P11" s="181"/>
      <c r="Q11" s="181"/>
      <c r="R11" s="178"/>
      <c r="S11" s="178"/>
      <c r="T11" s="178"/>
      <c r="U11" s="187" t="s">
        <v>32</v>
      </c>
      <c r="V11" s="181"/>
      <c r="W11" s="182"/>
      <c r="X11" s="182">
        <v>1</v>
      </c>
      <c r="Y11" s="181">
        <v>2</v>
      </c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7" t="s">
        <v>32</v>
      </c>
      <c r="AL11" s="184"/>
      <c r="AM11" s="181"/>
      <c r="AN11" s="181">
        <v>1</v>
      </c>
      <c r="AO11" s="181">
        <v>1</v>
      </c>
      <c r="AP11" s="181"/>
      <c r="AQ11" s="181">
        <v>1</v>
      </c>
      <c r="AR11" s="181"/>
      <c r="AS11" s="181"/>
      <c r="AT11" s="181"/>
      <c r="AU11" s="181"/>
      <c r="AV11" s="181"/>
      <c r="AW11" s="181"/>
      <c r="AX11" s="181"/>
      <c r="AY11" s="181"/>
      <c r="AZ11" s="181">
        <v>1</v>
      </c>
      <c r="BA11" s="290"/>
      <c r="BB11" s="116">
        <f t="shared" si="36"/>
        <v>3</v>
      </c>
      <c r="BC11" s="105">
        <f t="shared" si="0"/>
        <v>0</v>
      </c>
      <c r="BD11" s="106">
        <f t="shared" si="1"/>
        <v>0</v>
      </c>
      <c r="BE11" s="106">
        <f t="shared" si="37"/>
        <v>0</v>
      </c>
      <c r="BF11" s="106">
        <f t="shared" si="2"/>
        <v>4</v>
      </c>
      <c r="BG11" s="106">
        <f t="shared" si="38"/>
        <v>4</v>
      </c>
      <c r="BH11" s="106">
        <f t="shared" si="3"/>
        <v>3</v>
      </c>
      <c r="BI11" s="106">
        <f t="shared" si="39"/>
        <v>7</v>
      </c>
      <c r="BJ11" s="106">
        <f t="shared" si="4"/>
        <v>0</v>
      </c>
      <c r="BK11" s="106">
        <f t="shared" si="5"/>
        <v>1</v>
      </c>
      <c r="BL11" s="106">
        <f t="shared" si="6"/>
        <v>1</v>
      </c>
      <c r="BM11" s="106">
        <f t="shared" si="7"/>
        <v>0</v>
      </c>
      <c r="BN11" s="106">
        <f t="shared" si="8"/>
        <v>0</v>
      </c>
      <c r="BO11" s="106">
        <f t="shared" si="40"/>
        <v>0</v>
      </c>
      <c r="BP11" s="106">
        <f t="shared" si="9"/>
        <v>0</v>
      </c>
      <c r="BQ11" s="106">
        <f t="shared" si="10"/>
        <v>0</v>
      </c>
      <c r="BR11" s="106">
        <f t="shared" si="41"/>
        <v>0</v>
      </c>
      <c r="BS11" s="106">
        <f t="shared" si="11"/>
        <v>0</v>
      </c>
      <c r="BT11" s="106">
        <f t="shared" si="12"/>
        <v>0</v>
      </c>
      <c r="BU11" s="106">
        <f t="shared" si="42"/>
        <v>0</v>
      </c>
      <c r="BV11" s="106">
        <f t="shared" si="13"/>
        <v>0</v>
      </c>
      <c r="BW11" s="107">
        <f t="shared" si="14"/>
        <v>1</v>
      </c>
      <c r="BX11" s="107">
        <f t="shared" si="43"/>
        <v>1</v>
      </c>
      <c r="BY11" s="24"/>
      <c r="BZ11" s="111">
        <f t="shared" si="44"/>
        <v>360</v>
      </c>
      <c r="CA11" s="112">
        <f t="shared" si="45"/>
        <v>10</v>
      </c>
      <c r="CB11" s="112">
        <f t="shared" si="46"/>
        <v>5</v>
      </c>
      <c r="CC11" s="112">
        <f t="shared" si="47"/>
        <v>0</v>
      </c>
      <c r="CD11" s="112">
        <f t="shared" si="48"/>
        <v>10</v>
      </c>
      <c r="CE11" s="113">
        <f t="shared" si="49"/>
        <v>385</v>
      </c>
      <c r="CF11" s="29">
        <f t="shared" si="15"/>
        <v>165</v>
      </c>
      <c r="CG11" s="24">
        <f t="shared" si="50"/>
        <v>3</v>
      </c>
      <c r="CH11" s="29">
        <f t="shared" si="16"/>
        <v>105</v>
      </c>
      <c r="CI11" s="24">
        <f t="shared" si="51"/>
        <v>4</v>
      </c>
      <c r="CJ11" s="29">
        <f t="shared" si="17"/>
        <v>-15</v>
      </c>
      <c r="CK11" s="24" t="str">
        <f t="shared" si="52"/>
        <v>NAO</v>
      </c>
      <c r="CM11" s="115">
        <f t="shared" si="18"/>
        <v>2.877751616399447</v>
      </c>
      <c r="CN11" s="84"/>
      <c r="CO11" s="118">
        <f t="shared" si="19"/>
        <v>0</v>
      </c>
      <c r="CP11" s="118">
        <f t="shared" si="20"/>
        <v>0</v>
      </c>
      <c r="CQ11" s="118">
        <f t="shared" si="21"/>
        <v>4.651162790697675</v>
      </c>
      <c r="CR11" s="118">
        <f t="shared" si="22"/>
        <v>4.761904761904762</v>
      </c>
      <c r="CS11" s="118">
        <f t="shared" si="23"/>
        <v>0</v>
      </c>
      <c r="CT11" s="118">
        <f t="shared" si="24"/>
        <v>2.1739130434782608</v>
      </c>
      <c r="CU11" s="118">
        <f t="shared" si="25"/>
        <v>16.666666666666668</v>
      </c>
      <c r="CV11" s="118" t="e">
        <f t="shared" si="26"/>
        <v>#DIV/0!</v>
      </c>
      <c r="CW11" s="118">
        <f t="shared" si="27"/>
        <v>0</v>
      </c>
      <c r="CX11" s="118" t="e">
        <f t="shared" si="28"/>
        <v>#DIV/0!</v>
      </c>
      <c r="CY11" s="118">
        <f t="shared" si="29"/>
        <v>0</v>
      </c>
      <c r="CZ11" s="118">
        <f t="shared" si="30"/>
        <v>0</v>
      </c>
      <c r="DA11" s="118" t="e">
        <f t="shared" si="31"/>
        <v>#DIV/0!</v>
      </c>
      <c r="DB11" s="118">
        <f t="shared" si="32"/>
        <v>0</v>
      </c>
      <c r="DC11" s="118">
        <f t="shared" si="33"/>
        <v>0</v>
      </c>
      <c r="DD11" s="118">
        <f t="shared" si="34"/>
        <v>3.215434083601286</v>
      </c>
      <c r="DE11" s="118">
        <f t="shared" si="35"/>
        <v>3.8314176245210727</v>
      </c>
    </row>
    <row r="12" spans="1:109" ht="16.5" thickBot="1">
      <c r="A12" s="28" t="s">
        <v>214</v>
      </c>
      <c r="B12" s="28" t="s">
        <v>215</v>
      </c>
      <c r="C12" s="171">
        <v>10</v>
      </c>
      <c r="D12" s="121" t="s">
        <v>227</v>
      </c>
      <c r="E12" s="187" t="s">
        <v>32</v>
      </c>
      <c r="F12" s="180"/>
      <c r="G12" s="182">
        <v>1</v>
      </c>
      <c r="H12" s="182"/>
      <c r="I12" s="181"/>
      <c r="J12" s="181"/>
      <c r="K12" s="181">
        <v>3</v>
      </c>
      <c r="L12" s="181"/>
      <c r="M12" s="181"/>
      <c r="N12" s="181"/>
      <c r="O12" s="181"/>
      <c r="P12" s="181"/>
      <c r="Q12" s="181"/>
      <c r="R12" s="181"/>
      <c r="S12" s="181"/>
      <c r="T12" s="181">
        <v>2</v>
      </c>
      <c r="U12" s="187" t="s">
        <v>32</v>
      </c>
      <c r="V12" s="182"/>
      <c r="W12" s="182"/>
      <c r="X12" s="182">
        <v>2</v>
      </c>
      <c r="Y12" s="182"/>
      <c r="Z12" s="182"/>
      <c r="AA12" s="182"/>
      <c r="AB12" s="181"/>
      <c r="AC12" s="181"/>
      <c r="AD12" s="181"/>
      <c r="AE12" s="181"/>
      <c r="AF12" s="181"/>
      <c r="AG12" s="181"/>
      <c r="AH12" s="181"/>
      <c r="AI12" s="181"/>
      <c r="AJ12" s="181">
        <v>1.1</v>
      </c>
      <c r="AK12" s="187" t="s">
        <v>32</v>
      </c>
      <c r="AL12" s="184"/>
      <c r="AM12" s="181">
        <v>1</v>
      </c>
      <c r="AN12" s="181"/>
      <c r="AO12" s="181"/>
      <c r="AP12" s="181"/>
      <c r="AQ12" s="181">
        <v>3</v>
      </c>
      <c r="AR12" s="181"/>
      <c r="AS12" s="181"/>
      <c r="AT12" s="181"/>
      <c r="AU12" s="181"/>
      <c r="AV12" s="181"/>
      <c r="AW12" s="181"/>
      <c r="AX12" s="181"/>
      <c r="AY12" s="181"/>
      <c r="AZ12" s="181">
        <v>1</v>
      </c>
      <c r="BA12" s="290"/>
      <c r="BB12" s="116">
        <f t="shared" si="36"/>
        <v>3</v>
      </c>
      <c r="BC12" s="105">
        <f t="shared" si="0"/>
        <v>0</v>
      </c>
      <c r="BD12" s="106">
        <f t="shared" si="1"/>
        <v>2</v>
      </c>
      <c r="BE12" s="106">
        <f t="shared" si="37"/>
        <v>2</v>
      </c>
      <c r="BF12" s="106">
        <f t="shared" si="2"/>
        <v>2</v>
      </c>
      <c r="BG12" s="106">
        <f t="shared" si="38"/>
        <v>4</v>
      </c>
      <c r="BH12" s="106">
        <f t="shared" si="3"/>
        <v>0</v>
      </c>
      <c r="BI12" s="106">
        <f t="shared" si="39"/>
        <v>4</v>
      </c>
      <c r="BJ12" s="106">
        <f t="shared" si="4"/>
        <v>0</v>
      </c>
      <c r="BK12" s="106">
        <f t="shared" si="5"/>
        <v>6</v>
      </c>
      <c r="BL12" s="106">
        <f t="shared" si="6"/>
        <v>0</v>
      </c>
      <c r="BM12" s="106">
        <f t="shared" si="7"/>
        <v>0</v>
      </c>
      <c r="BN12" s="106">
        <f t="shared" si="8"/>
        <v>0</v>
      </c>
      <c r="BO12" s="106">
        <f t="shared" si="40"/>
        <v>0</v>
      </c>
      <c r="BP12" s="106">
        <f t="shared" si="9"/>
        <v>0</v>
      </c>
      <c r="BQ12" s="106">
        <f t="shared" si="10"/>
        <v>0</v>
      </c>
      <c r="BR12" s="106">
        <f t="shared" si="41"/>
        <v>0</v>
      </c>
      <c r="BS12" s="106">
        <f t="shared" si="11"/>
        <v>0</v>
      </c>
      <c r="BT12" s="106">
        <f t="shared" si="12"/>
        <v>0</v>
      </c>
      <c r="BU12" s="106">
        <f t="shared" si="42"/>
        <v>0</v>
      </c>
      <c r="BV12" s="106">
        <f t="shared" si="13"/>
        <v>0</v>
      </c>
      <c r="BW12" s="107">
        <f t="shared" si="14"/>
        <v>4.1</v>
      </c>
      <c r="BX12" s="107">
        <f t="shared" si="43"/>
        <v>3</v>
      </c>
      <c r="BY12" s="24"/>
      <c r="BZ12" s="111">
        <f t="shared" si="44"/>
        <v>280</v>
      </c>
      <c r="CA12" s="112">
        <f t="shared" si="45"/>
        <v>30</v>
      </c>
      <c r="CB12" s="112">
        <f t="shared" si="46"/>
        <v>0</v>
      </c>
      <c r="CC12" s="112">
        <f t="shared" si="47"/>
        <v>0</v>
      </c>
      <c r="CD12" s="112">
        <f t="shared" si="48"/>
        <v>30</v>
      </c>
      <c r="CE12" s="113">
        <f t="shared" si="49"/>
        <v>340</v>
      </c>
      <c r="CF12" s="29">
        <f t="shared" si="15"/>
        <v>120</v>
      </c>
      <c r="CG12" s="24">
        <f t="shared" si="50"/>
        <v>3</v>
      </c>
      <c r="CH12" s="29">
        <f t="shared" si="16"/>
        <v>60</v>
      </c>
      <c r="CI12" s="24">
        <f t="shared" si="51"/>
        <v>4</v>
      </c>
      <c r="CJ12" s="29">
        <f t="shared" si="17"/>
        <v>-60</v>
      </c>
      <c r="CK12" s="24" t="str">
        <f t="shared" si="52"/>
        <v>NAO</v>
      </c>
      <c r="CM12" s="115">
        <f t="shared" si="18"/>
        <v>2.5413910378592517</v>
      </c>
      <c r="CN12" s="84"/>
      <c r="CO12" s="118">
        <f t="shared" si="19"/>
        <v>0</v>
      </c>
      <c r="CP12" s="118">
        <f t="shared" si="20"/>
        <v>6.0606060606060606</v>
      </c>
      <c r="CQ12" s="118">
        <f t="shared" si="21"/>
        <v>2.3255813953488373</v>
      </c>
      <c r="CR12" s="118">
        <f t="shared" si="22"/>
        <v>0</v>
      </c>
      <c r="CS12" s="118">
        <f t="shared" si="23"/>
        <v>0</v>
      </c>
      <c r="CT12" s="118">
        <f t="shared" si="24"/>
        <v>13.043478260869565</v>
      </c>
      <c r="CU12" s="118">
        <f t="shared" si="25"/>
        <v>0</v>
      </c>
      <c r="CV12" s="118" t="e">
        <f t="shared" si="26"/>
        <v>#DIV/0!</v>
      </c>
      <c r="CW12" s="118">
        <f t="shared" si="27"/>
        <v>0</v>
      </c>
      <c r="CX12" s="118" t="e">
        <f t="shared" si="28"/>
        <v>#DIV/0!</v>
      </c>
      <c r="CY12" s="118">
        <f t="shared" si="29"/>
        <v>0</v>
      </c>
      <c r="CZ12" s="118">
        <f t="shared" si="30"/>
        <v>0</v>
      </c>
      <c r="DA12" s="118" t="e">
        <f t="shared" si="31"/>
        <v>#DIV/0!</v>
      </c>
      <c r="DB12" s="118">
        <f t="shared" si="32"/>
        <v>0</v>
      </c>
      <c r="DC12" s="118">
        <f t="shared" si="33"/>
        <v>0</v>
      </c>
      <c r="DD12" s="118">
        <f t="shared" si="34"/>
        <v>13.183279742765272</v>
      </c>
      <c r="DE12" s="118">
        <f t="shared" si="35"/>
        <v>11.494252873563218</v>
      </c>
    </row>
    <row r="13" spans="1:109" ht="16.5" thickBot="1">
      <c r="A13" s="28" t="s">
        <v>214</v>
      </c>
      <c r="B13" s="28" t="s">
        <v>215</v>
      </c>
      <c r="C13" s="171">
        <v>11</v>
      </c>
      <c r="D13" s="121" t="s">
        <v>228</v>
      </c>
      <c r="E13" s="187" t="s">
        <v>32</v>
      </c>
      <c r="F13" s="180"/>
      <c r="G13" s="181">
        <v>2</v>
      </c>
      <c r="H13" s="178"/>
      <c r="I13" s="182">
        <v>2</v>
      </c>
      <c r="J13" s="182"/>
      <c r="K13" s="182">
        <v>2</v>
      </c>
      <c r="L13" s="181"/>
      <c r="M13" s="181"/>
      <c r="N13" s="181"/>
      <c r="O13" s="181"/>
      <c r="P13" s="181"/>
      <c r="Q13" s="181"/>
      <c r="R13" s="181"/>
      <c r="S13" s="181"/>
      <c r="T13" s="181">
        <v>1.1</v>
      </c>
      <c r="U13" s="187" t="s">
        <v>32</v>
      </c>
      <c r="V13" s="181"/>
      <c r="W13" s="181"/>
      <c r="X13" s="178">
        <v>2</v>
      </c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>
        <v>2.1</v>
      </c>
      <c r="AJ13" s="181"/>
      <c r="AK13" s="187" t="s">
        <v>32</v>
      </c>
      <c r="AL13" s="184"/>
      <c r="AM13" s="181">
        <v>1</v>
      </c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>
        <v>1</v>
      </c>
      <c r="BA13" s="290"/>
      <c r="BB13" s="116">
        <f t="shared" si="36"/>
        <v>3</v>
      </c>
      <c r="BC13" s="105">
        <f t="shared" si="0"/>
        <v>0</v>
      </c>
      <c r="BD13" s="106">
        <f t="shared" si="1"/>
        <v>3</v>
      </c>
      <c r="BE13" s="106">
        <f t="shared" si="37"/>
        <v>3</v>
      </c>
      <c r="BF13" s="106">
        <f t="shared" si="2"/>
        <v>2</v>
      </c>
      <c r="BG13" s="106">
        <f t="shared" si="38"/>
        <v>5</v>
      </c>
      <c r="BH13" s="106">
        <f t="shared" si="3"/>
        <v>2</v>
      </c>
      <c r="BI13" s="106">
        <f t="shared" si="39"/>
        <v>7</v>
      </c>
      <c r="BJ13" s="106">
        <f t="shared" si="4"/>
        <v>0</v>
      </c>
      <c r="BK13" s="106">
        <f t="shared" si="5"/>
        <v>2</v>
      </c>
      <c r="BL13" s="106">
        <f t="shared" si="6"/>
        <v>0</v>
      </c>
      <c r="BM13" s="106">
        <f t="shared" si="7"/>
        <v>0</v>
      </c>
      <c r="BN13" s="106">
        <f t="shared" si="8"/>
        <v>0</v>
      </c>
      <c r="BO13" s="106">
        <f t="shared" si="40"/>
        <v>0</v>
      </c>
      <c r="BP13" s="106">
        <f t="shared" si="9"/>
        <v>0</v>
      </c>
      <c r="BQ13" s="106">
        <f t="shared" si="10"/>
        <v>0</v>
      </c>
      <c r="BR13" s="106">
        <f t="shared" si="41"/>
        <v>0</v>
      </c>
      <c r="BS13" s="106">
        <f t="shared" si="11"/>
        <v>0</v>
      </c>
      <c r="BT13" s="106">
        <f t="shared" si="12"/>
        <v>0</v>
      </c>
      <c r="BU13" s="106">
        <f t="shared" si="42"/>
        <v>0</v>
      </c>
      <c r="BV13" s="106">
        <f t="shared" si="13"/>
        <v>2.1</v>
      </c>
      <c r="BW13" s="107">
        <f t="shared" si="14"/>
        <v>2.1</v>
      </c>
      <c r="BX13" s="107">
        <f t="shared" si="43"/>
        <v>2.1</v>
      </c>
      <c r="BY13" s="24"/>
      <c r="BZ13" s="111">
        <f t="shared" si="44"/>
        <v>440</v>
      </c>
      <c r="CA13" s="112">
        <f t="shared" si="45"/>
        <v>20</v>
      </c>
      <c r="CB13" s="112">
        <f t="shared" si="46"/>
        <v>0</v>
      </c>
      <c r="CC13" s="112">
        <f t="shared" si="47"/>
        <v>0</v>
      </c>
      <c r="CD13" s="112">
        <f t="shared" si="48"/>
        <v>73.5</v>
      </c>
      <c r="CE13" s="113">
        <f t="shared" si="49"/>
        <v>533.5</v>
      </c>
      <c r="CF13" s="29">
        <f t="shared" si="15"/>
        <v>313.5</v>
      </c>
      <c r="CG13" s="24">
        <f t="shared" si="50"/>
        <v>3</v>
      </c>
      <c r="CH13" s="29">
        <f t="shared" si="16"/>
        <v>253.5</v>
      </c>
      <c r="CI13" s="24">
        <f t="shared" si="51"/>
        <v>4</v>
      </c>
      <c r="CJ13" s="29">
        <f t="shared" si="17"/>
        <v>133.5</v>
      </c>
      <c r="CK13" s="24">
        <f t="shared" si="52"/>
        <v>5</v>
      </c>
      <c r="CM13" s="115">
        <f t="shared" si="18"/>
        <v>3.9877415255820905</v>
      </c>
      <c r="CN13" s="84"/>
      <c r="CO13" s="118">
        <f t="shared" si="19"/>
        <v>0</v>
      </c>
      <c r="CP13" s="118">
        <f t="shared" si="20"/>
        <v>9.09090909090909</v>
      </c>
      <c r="CQ13" s="118">
        <f t="shared" si="21"/>
        <v>2.3255813953488373</v>
      </c>
      <c r="CR13" s="118">
        <f t="shared" si="22"/>
        <v>3.1746031746031744</v>
      </c>
      <c r="CS13" s="118">
        <f t="shared" si="23"/>
        <v>0</v>
      </c>
      <c r="CT13" s="118">
        <f t="shared" si="24"/>
        <v>4.3478260869565215</v>
      </c>
      <c r="CU13" s="118">
        <f t="shared" si="25"/>
        <v>0</v>
      </c>
      <c r="CV13" s="118" t="e">
        <f t="shared" si="26"/>
        <v>#DIV/0!</v>
      </c>
      <c r="CW13" s="118">
        <f t="shared" si="27"/>
        <v>0</v>
      </c>
      <c r="CX13" s="118" t="e">
        <f t="shared" si="28"/>
        <v>#DIV/0!</v>
      </c>
      <c r="CY13" s="118">
        <f t="shared" si="29"/>
        <v>0</v>
      </c>
      <c r="CZ13" s="118">
        <f t="shared" si="30"/>
        <v>0</v>
      </c>
      <c r="DA13" s="118" t="e">
        <f t="shared" si="31"/>
        <v>#DIV/0!</v>
      </c>
      <c r="DB13" s="118">
        <f t="shared" si="32"/>
        <v>0</v>
      </c>
      <c r="DC13" s="118">
        <f t="shared" si="33"/>
        <v>41.1764705882353</v>
      </c>
      <c r="DD13" s="118">
        <f t="shared" si="34"/>
        <v>6.752411575562701</v>
      </c>
      <c r="DE13" s="118">
        <f t="shared" si="35"/>
        <v>8.045977011494253</v>
      </c>
    </row>
    <row r="14" spans="1:109" ht="16.5" thickBot="1">
      <c r="A14" s="28" t="s">
        <v>214</v>
      </c>
      <c r="B14" s="28" t="s">
        <v>220</v>
      </c>
      <c r="C14" s="171">
        <v>12</v>
      </c>
      <c r="D14" s="121" t="s">
        <v>229</v>
      </c>
      <c r="E14" s="187" t="s">
        <v>32</v>
      </c>
      <c r="F14" s="205"/>
      <c r="G14" s="203">
        <v>1</v>
      </c>
      <c r="H14" s="206">
        <v>2</v>
      </c>
      <c r="I14" s="206">
        <v>1</v>
      </c>
      <c r="J14" s="203"/>
      <c r="K14" s="203"/>
      <c r="L14" s="203"/>
      <c r="M14" s="203"/>
      <c r="N14" s="203"/>
      <c r="O14" s="203"/>
      <c r="P14" s="203"/>
      <c r="Q14" s="203"/>
      <c r="R14" s="207"/>
      <c r="S14" s="207"/>
      <c r="T14" s="207">
        <v>1</v>
      </c>
      <c r="U14" s="187" t="s">
        <v>32</v>
      </c>
      <c r="V14" s="204">
        <v>1</v>
      </c>
      <c r="W14" s="206"/>
      <c r="X14" s="206">
        <v>1</v>
      </c>
      <c r="Y14" s="204">
        <v>4</v>
      </c>
      <c r="Z14" s="204">
        <v>1</v>
      </c>
      <c r="AA14" s="204"/>
      <c r="AB14" s="204"/>
      <c r="AC14" s="204"/>
      <c r="AD14" s="204"/>
      <c r="AE14" s="204"/>
      <c r="AF14" s="204"/>
      <c r="AG14" s="204"/>
      <c r="AH14" s="204"/>
      <c r="AI14" s="204"/>
      <c r="AJ14" s="204">
        <v>1</v>
      </c>
      <c r="AK14" s="187" t="s">
        <v>32</v>
      </c>
      <c r="AL14" s="210"/>
      <c r="AM14" s="204"/>
      <c r="AN14" s="204">
        <v>3</v>
      </c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>
        <v>1</v>
      </c>
      <c r="BA14" s="290"/>
      <c r="BB14" s="116">
        <f t="shared" si="36"/>
        <v>3</v>
      </c>
      <c r="BC14" s="105">
        <f t="shared" si="0"/>
        <v>1</v>
      </c>
      <c r="BD14" s="106">
        <f t="shared" si="1"/>
        <v>1</v>
      </c>
      <c r="BE14" s="106">
        <f t="shared" si="37"/>
        <v>2</v>
      </c>
      <c r="BF14" s="106">
        <f t="shared" si="2"/>
        <v>6</v>
      </c>
      <c r="BG14" s="106">
        <f t="shared" si="38"/>
        <v>8</v>
      </c>
      <c r="BH14" s="106">
        <f t="shared" si="3"/>
        <v>5</v>
      </c>
      <c r="BI14" s="106">
        <f t="shared" si="39"/>
        <v>13</v>
      </c>
      <c r="BJ14" s="106">
        <f t="shared" si="4"/>
        <v>1</v>
      </c>
      <c r="BK14" s="106">
        <f t="shared" si="5"/>
        <v>0</v>
      </c>
      <c r="BL14" s="106">
        <f t="shared" si="6"/>
        <v>0</v>
      </c>
      <c r="BM14" s="106">
        <f t="shared" si="7"/>
        <v>0</v>
      </c>
      <c r="BN14" s="106">
        <f t="shared" si="8"/>
        <v>0</v>
      </c>
      <c r="BO14" s="106">
        <f t="shared" si="40"/>
        <v>0</v>
      </c>
      <c r="BP14" s="106">
        <f t="shared" si="9"/>
        <v>0</v>
      </c>
      <c r="BQ14" s="106">
        <f t="shared" si="10"/>
        <v>0</v>
      </c>
      <c r="BR14" s="106">
        <f t="shared" si="41"/>
        <v>0</v>
      </c>
      <c r="BS14" s="106">
        <f t="shared" si="11"/>
        <v>0</v>
      </c>
      <c r="BT14" s="106">
        <f t="shared" si="12"/>
        <v>0</v>
      </c>
      <c r="BU14" s="106">
        <f t="shared" si="42"/>
        <v>0</v>
      </c>
      <c r="BV14" s="106">
        <f t="shared" si="13"/>
        <v>0</v>
      </c>
      <c r="BW14" s="107">
        <f t="shared" si="14"/>
        <v>3</v>
      </c>
      <c r="BX14" s="107">
        <f t="shared" si="43"/>
        <v>3</v>
      </c>
      <c r="BY14" s="24"/>
      <c r="BZ14" s="111">
        <f t="shared" si="44"/>
        <v>760</v>
      </c>
      <c r="CA14" s="112">
        <f t="shared" si="45"/>
        <v>0</v>
      </c>
      <c r="CB14" s="112">
        <f t="shared" si="46"/>
        <v>0</v>
      </c>
      <c r="CC14" s="112">
        <f t="shared" si="47"/>
        <v>0</v>
      </c>
      <c r="CD14" s="112">
        <f t="shared" si="48"/>
        <v>30</v>
      </c>
      <c r="CE14" s="113">
        <f t="shared" si="49"/>
        <v>790</v>
      </c>
      <c r="CF14" s="29">
        <f t="shared" si="15"/>
        <v>570</v>
      </c>
      <c r="CG14" s="24">
        <f t="shared" si="50"/>
        <v>3</v>
      </c>
      <c r="CH14" s="29">
        <f t="shared" si="16"/>
        <v>510</v>
      </c>
      <c r="CI14" s="24">
        <f t="shared" si="51"/>
        <v>4</v>
      </c>
      <c r="CJ14" s="29">
        <f t="shared" si="17"/>
        <v>390</v>
      </c>
      <c r="CK14" s="24">
        <f t="shared" si="52"/>
        <v>5</v>
      </c>
      <c r="CM14" s="115">
        <f t="shared" si="18"/>
        <v>5.904996823261203</v>
      </c>
      <c r="CN14" s="84"/>
      <c r="CO14" s="118">
        <f t="shared" si="19"/>
        <v>4.761904761904762</v>
      </c>
      <c r="CP14" s="118">
        <f t="shared" si="20"/>
        <v>3.0303030303030303</v>
      </c>
      <c r="CQ14" s="118">
        <f t="shared" si="21"/>
        <v>6.976744186046512</v>
      </c>
      <c r="CR14" s="118">
        <f t="shared" si="22"/>
        <v>7.936507936507937</v>
      </c>
      <c r="CS14" s="118">
        <f t="shared" si="23"/>
        <v>5.88235294117647</v>
      </c>
      <c r="CT14" s="118">
        <f t="shared" si="24"/>
        <v>0</v>
      </c>
      <c r="CU14" s="118">
        <f t="shared" si="25"/>
        <v>0</v>
      </c>
      <c r="CV14" s="118" t="e">
        <f t="shared" si="26"/>
        <v>#DIV/0!</v>
      </c>
      <c r="CW14" s="118">
        <f t="shared" si="27"/>
        <v>0</v>
      </c>
      <c r="CX14" s="118" t="e">
        <f t="shared" si="28"/>
        <v>#DIV/0!</v>
      </c>
      <c r="CY14" s="118">
        <f t="shared" si="29"/>
        <v>0</v>
      </c>
      <c r="CZ14" s="118">
        <f t="shared" si="30"/>
        <v>0</v>
      </c>
      <c r="DA14" s="118" t="e">
        <f t="shared" si="31"/>
        <v>#DIV/0!</v>
      </c>
      <c r="DB14" s="118">
        <f t="shared" si="32"/>
        <v>0</v>
      </c>
      <c r="DC14" s="118">
        <f t="shared" si="33"/>
        <v>0</v>
      </c>
      <c r="DD14" s="118">
        <f t="shared" si="34"/>
        <v>9.646302250803858</v>
      </c>
      <c r="DE14" s="118">
        <f t="shared" si="35"/>
        <v>11.494252873563218</v>
      </c>
    </row>
    <row r="15" spans="1:109" ht="16.5" thickBot="1">
      <c r="A15" s="28" t="s">
        <v>214</v>
      </c>
      <c r="B15" s="28" t="s">
        <v>220</v>
      </c>
      <c r="C15" s="171">
        <v>13</v>
      </c>
      <c r="D15" s="121" t="s">
        <v>230</v>
      </c>
      <c r="E15" s="187" t="s">
        <v>32</v>
      </c>
      <c r="F15" s="211"/>
      <c r="G15" s="206">
        <v>2</v>
      </c>
      <c r="H15" s="206"/>
      <c r="I15" s="206">
        <v>2</v>
      </c>
      <c r="J15" s="204">
        <v>1</v>
      </c>
      <c r="K15" s="204">
        <v>6</v>
      </c>
      <c r="L15" s="204">
        <v>1</v>
      </c>
      <c r="M15" s="204"/>
      <c r="N15" s="204"/>
      <c r="O15" s="207"/>
      <c r="P15" s="204"/>
      <c r="Q15" s="204"/>
      <c r="R15" s="207"/>
      <c r="S15" s="207"/>
      <c r="T15" s="207">
        <v>1.7</v>
      </c>
      <c r="U15" s="187" t="s">
        <v>32</v>
      </c>
      <c r="V15" s="206"/>
      <c r="W15" s="206"/>
      <c r="X15" s="206"/>
      <c r="Y15" s="206"/>
      <c r="Z15" s="204"/>
      <c r="AA15" s="204">
        <v>2</v>
      </c>
      <c r="AB15" s="204"/>
      <c r="AC15" s="204"/>
      <c r="AD15" s="204"/>
      <c r="AE15" s="204"/>
      <c r="AF15" s="204"/>
      <c r="AG15" s="204"/>
      <c r="AH15" s="204"/>
      <c r="AI15" s="204"/>
      <c r="AJ15" s="204">
        <v>1.4</v>
      </c>
      <c r="AK15" s="187" t="s">
        <v>32</v>
      </c>
      <c r="AL15" s="212"/>
      <c r="AM15" s="206"/>
      <c r="AN15" s="207">
        <v>2</v>
      </c>
      <c r="AO15" s="204"/>
      <c r="AP15" s="204"/>
      <c r="AQ15" s="204">
        <v>5</v>
      </c>
      <c r="AR15" s="204"/>
      <c r="AS15" s="204"/>
      <c r="AT15" s="204"/>
      <c r="AU15" s="204"/>
      <c r="AV15" s="204"/>
      <c r="AW15" s="204"/>
      <c r="AX15" s="204"/>
      <c r="AY15" s="204"/>
      <c r="AZ15" s="204">
        <v>1</v>
      </c>
      <c r="BA15" s="290"/>
      <c r="BB15" s="116">
        <f t="shared" si="36"/>
        <v>3</v>
      </c>
      <c r="BC15" s="105">
        <f t="shared" si="0"/>
        <v>0</v>
      </c>
      <c r="BD15" s="106">
        <f t="shared" si="1"/>
        <v>2</v>
      </c>
      <c r="BE15" s="106">
        <f t="shared" si="37"/>
        <v>2</v>
      </c>
      <c r="BF15" s="106">
        <f t="shared" si="2"/>
        <v>2</v>
      </c>
      <c r="BG15" s="106">
        <f t="shared" si="38"/>
        <v>4</v>
      </c>
      <c r="BH15" s="106">
        <f t="shared" si="3"/>
        <v>2</v>
      </c>
      <c r="BI15" s="106">
        <f t="shared" si="39"/>
        <v>6</v>
      </c>
      <c r="BJ15" s="106">
        <f t="shared" si="4"/>
        <v>1</v>
      </c>
      <c r="BK15" s="106">
        <f t="shared" si="5"/>
        <v>13</v>
      </c>
      <c r="BL15" s="106">
        <f t="shared" si="6"/>
        <v>1</v>
      </c>
      <c r="BM15" s="106">
        <f t="shared" si="7"/>
        <v>0</v>
      </c>
      <c r="BN15" s="106">
        <f t="shared" si="8"/>
        <v>0</v>
      </c>
      <c r="BO15" s="106">
        <f t="shared" si="40"/>
        <v>0</v>
      </c>
      <c r="BP15" s="106">
        <f t="shared" si="9"/>
        <v>0</v>
      </c>
      <c r="BQ15" s="106">
        <f t="shared" si="10"/>
        <v>0</v>
      </c>
      <c r="BR15" s="106">
        <f t="shared" si="41"/>
        <v>0</v>
      </c>
      <c r="BS15" s="106">
        <f t="shared" si="11"/>
        <v>0</v>
      </c>
      <c r="BT15" s="106">
        <f t="shared" si="12"/>
        <v>0</v>
      </c>
      <c r="BU15" s="106">
        <f t="shared" si="42"/>
        <v>0</v>
      </c>
      <c r="BV15" s="106">
        <f t="shared" si="13"/>
        <v>0</v>
      </c>
      <c r="BW15" s="107">
        <f t="shared" si="14"/>
        <v>4.1</v>
      </c>
      <c r="BX15" s="107">
        <f t="shared" si="43"/>
        <v>3</v>
      </c>
      <c r="BY15" s="24"/>
      <c r="BZ15" s="111">
        <f t="shared" si="44"/>
        <v>380</v>
      </c>
      <c r="CA15" s="112">
        <f t="shared" si="45"/>
        <v>30</v>
      </c>
      <c r="CB15" s="112">
        <f t="shared" si="46"/>
        <v>5</v>
      </c>
      <c r="CC15" s="112">
        <f t="shared" si="47"/>
        <v>0</v>
      </c>
      <c r="CD15" s="112">
        <f t="shared" si="48"/>
        <v>30</v>
      </c>
      <c r="CE15" s="113">
        <f t="shared" si="49"/>
        <v>445</v>
      </c>
      <c r="CF15" s="29">
        <f t="shared" si="15"/>
        <v>225</v>
      </c>
      <c r="CG15" s="24">
        <f t="shared" si="50"/>
        <v>3</v>
      </c>
      <c r="CH15" s="29">
        <f t="shared" si="16"/>
        <v>165</v>
      </c>
      <c r="CI15" s="24">
        <f t="shared" si="51"/>
        <v>4</v>
      </c>
      <c r="CJ15" s="29">
        <f t="shared" si="17"/>
        <v>45</v>
      </c>
      <c r="CK15" s="24">
        <f t="shared" si="52"/>
        <v>5</v>
      </c>
      <c r="CM15" s="115">
        <f t="shared" si="18"/>
        <v>3.3262323877863738</v>
      </c>
      <c r="CN15" s="84"/>
      <c r="CO15" s="118">
        <f t="shared" si="19"/>
        <v>0</v>
      </c>
      <c r="CP15" s="118">
        <f t="shared" si="20"/>
        <v>6.0606060606060606</v>
      </c>
      <c r="CQ15" s="118">
        <f t="shared" si="21"/>
        <v>2.3255813953488373</v>
      </c>
      <c r="CR15" s="118">
        <f t="shared" si="22"/>
        <v>3.1746031746031744</v>
      </c>
      <c r="CS15" s="118">
        <f t="shared" si="23"/>
        <v>5.88235294117647</v>
      </c>
      <c r="CT15" s="118">
        <f t="shared" si="24"/>
        <v>28.26086956521739</v>
      </c>
      <c r="CU15" s="118">
        <f t="shared" si="25"/>
        <v>16.666666666666668</v>
      </c>
      <c r="CV15" s="118" t="e">
        <f t="shared" si="26"/>
        <v>#DIV/0!</v>
      </c>
      <c r="CW15" s="118">
        <f t="shared" si="27"/>
        <v>0</v>
      </c>
      <c r="CX15" s="118" t="e">
        <f t="shared" si="28"/>
        <v>#DIV/0!</v>
      </c>
      <c r="CY15" s="118">
        <f t="shared" si="29"/>
        <v>0</v>
      </c>
      <c r="CZ15" s="118">
        <f t="shared" si="30"/>
        <v>0</v>
      </c>
      <c r="DA15" s="118" t="e">
        <f t="shared" si="31"/>
        <v>#DIV/0!</v>
      </c>
      <c r="DB15" s="118">
        <f t="shared" si="32"/>
        <v>0</v>
      </c>
      <c r="DC15" s="118">
        <f t="shared" si="33"/>
        <v>0</v>
      </c>
      <c r="DD15" s="118">
        <f t="shared" si="34"/>
        <v>13.183279742765272</v>
      </c>
      <c r="DE15" s="118">
        <f t="shared" si="35"/>
        <v>11.494252873563218</v>
      </c>
    </row>
    <row r="16" spans="1:109" ht="16.5" thickBot="1">
      <c r="A16" s="28" t="s">
        <v>214</v>
      </c>
      <c r="B16" s="28" t="s">
        <v>215</v>
      </c>
      <c r="C16" s="171">
        <v>14</v>
      </c>
      <c r="D16" s="121" t="s">
        <v>231</v>
      </c>
      <c r="E16" s="187" t="s">
        <v>32</v>
      </c>
      <c r="F16" s="183"/>
      <c r="G16" s="182"/>
      <c r="H16" s="182">
        <v>2</v>
      </c>
      <c r="I16" s="182">
        <v>2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7" t="s">
        <v>32</v>
      </c>
      <c r="V16" s="182"/>
      <c r="W16" s="182"/>
      <c r="X16" s="182">
        <v>2</v>
      </c>
      <c r="Y16" s="181"/>
      <c r="Z16" s="181"/>
      <c r="AA16" s="181">
        <v>1</v>
      </c>
      <c r="AB16" s="181"/>
      <c r="AC16" s="181"/>
      <c r="AD16" s="181"/>
      <c r="AE16" s="181"/>
      <c r="AF16" s="181"/>
      <c r="AG16" s="181"/>
      <c r="AH16" s="181"/>
      <c r="AI16" s="181"/>
      <c r="AJ16" s="181"/>
      <c r="AK16" s="187" t="s">
        <v>32</v>
      </c>
      <c r="AL16" s="184"/>
      <c r="AM16" s="181"/>
      <c r="AN16" s="181">
        <v>2</v>
      </c>
      <c r="AO16" s="181">
        <v>1</v>
      </c>
      <c r="AP16" s="181"/>
      <c r="AQ16" s="181">
        <v>1</v>
      </c>
      <c r="AR16" s="181"/>
      <c r="AS16" s="181"/>
      <c r="AT16" s="181"/>
      <c r="AU16" s="181"/>
      <c r="AV16" s="181"/>
      <c r="AW16" s="181"/>
      <c r="AX16" s="181"/>
      <c r="AY16" s="181"/>
      <c r="AZ16" s="181"/>
      <c r="BA16" s="290"/>
      <c r="BB16" s="116">
        <f t="shared" si="36"/>
        <v>3</v>
      </c>
      <c r="BC16" s="105">
        <f t="shared" si="0"/>
        <v>0</v>
      </c>
      <c r="BD16" s="106">
        <f t="shared" si="1"/>
        <v>0</v>
      </c>
      <c r="BE16" s="106">
        <f t="shared" si="37"/>
        <v>0</v>
      </c>
      <c r="BF16" s="106">
        <f t="shared" si="2"/>
        <v>6</v>
      </c>
      <c r="BG16" s="106">
        <f t="shared" si="38"/>
        <v>6</v>
      </c>
      <c r="BH16" s="106">
        <f t="shared" si="3"/>
        <v>3</v>
      </c>
      <c r="BI16" s="106">
        <f t="shared" si="39"/>
        <v>9</v>
      </c>
      <c r="BJ16" s="106">
        <f t="shared" si="4"/>
        <v>0</v>
      </c>
      <c r="BK16" s="106">
        <f t="shared" si="5"/>
        <v>2</v>
      </c>
      <c r="BL16" s="106">
        <f t="shared" si="6"/>
        <v>0</v>
      </c>
      <c r="BM16" s="106">
        <f t="shared" si="7"/>
        <v>0</v>
      </c>
      <c r="BN16" s="106">
        <f t="shared" si="8"/>
        <v>0</v>
      </c>
      <c r="BO16" s="106">
        <f t="shared" si="40"/>
        <v>0</v>
      </c>
      <c r="BP16" s="106">
        <f t="shared" si="9"/>
        <v>0</v>
      </c>
      <c r="BQ16" s="106">
        <f t="shared" si="10"/>
        <v>0</v>
      </c>
      <c r="BR16" s="106">
        <f t="shared" si="41"/>
        <v>0</v>
      </c>
      <c r="BS16" s="106">
        <f t="shared" si="11"/>
        <v>0</v>
      </c>
      <c r="BT16" s="106">
        <f t="shared" si="12"/>
        <v>0</v>
      </c>
      <c r="BU16" s="106">
        <f t="shared" si="42"/>
        <v>0</v>
      </c>
      <c r="BV16" s="106">
        <f t="shared" si="13"/>
        <v>0</v>
      </c>
      <c r="BW16" s="107">
        <f t="shared" si="14"/>
        <v>0</v>
      </c>
      <c r="BX16" s="107">
        <f t="shared" si="43"/>
        <v>0</v>
      </c>
      <c r="BY16" s="24"/>
      <c r="BZ16" s="111">
        <f t="shared" si="44"/>
        <v>480</v>
      </c>
      <c r="CA16" s="112">
        <f t="shared" si="45"/>
        <v>20</v>
      </c>
      <c r="CB16" s="112">
        <f t="shared" si="46"/>
        <v>0</v>
      </c>
      <c r="CC16" s="112">
        <f t="shared" si="47"/>
        <v>0</v>
      </c>
      <c r="CD16" s="112">
        <f t="shared" si="48"/>
        <v>0</v>
      </c>
      <c r="CE16" s="113">
        <f t="shared" si="49"/>
        <v>500</v>
      </c>
      <c r="CF16" s="29">
        <f t="shared" si="15"/>
        <v>280</v>
      </c>
      <c r="CG16" s="24">
        <f t="shared" si="50"/>
        <v>3</v>
      </c>
      <c r="CH16" s="29">
        <f t="shared" si="16"/>
        <v>220</v>
      </c>
      <c r="CI16" s="24">
        <f t="shared" si="51"/>
        <v>4</v>
      </c>
      <c r="CJ16" s="29">
        <f t="shared" si="17"/>
        <v>100</v>
      </c>
      <c r="CK16" s="24">
        <f t="shared" si="52"/>
        <v>5</v>
      </c>
      <c r="CM16" s="115">
        <f t="shared" si="18"/>
        <v>3.737339761557723</v>
      </c>
      <c r="CN16" s="84"/>
      <c r="CO16" s="118">
        <f t="shared" si="19"/>
        <v>0</v>
      </c>
      <c r="CP16" s="118">
        <f t="shared" si="20"/>
        <v>0</v>
      </c>
      <c r="CQ16" s="118">
        <f t="shared" si="21"/>
        <v>6.976744186046512</v>
      </c>
      <c r="CR16" s="118">
        <f t="shared" si="22"/>
        <v>4.761904761904762</v>
      </c>
      <c r="CS16" s="118">
        <f t="shared" si="23"/>
        <v>0</v>
      </c>
      <c r="CT16" s="118">
        <f t="shared" si="24"/>
        <v>4.3478260869565215</v>
      </c>
      <c r="CU16" s="118">
        <f t="shared" si="25"/>
        <v>0</v>
      </c>
      <c r="CV16" s="118" t="e">
        <f t="shared" si="26"/>
        <v>#DIV/0!</v>
      </c>
      <c r="CW16" s="118">
        <f t="shared" si="27"/>
        <v>0</v>
      </c>
      <c r="CX16" s="118" t="e">
        <f t="shared" si="28"/>
        <v>#DIV/0!</v>
      </c>
      <c r="CY16" s="118">
        <f t="shared" si="29"/>
        <v>0</v>
      </c>
      <c r="CZ16" s="118">
        <f t="shared" si="30"/>
        <v>0</v>
      </c>
      <c r="DA16" s="118" t="e">
        <f t="shared" si="31"/>
        <v>#DIV/0!</v>
      </c>
      <c r="DB16" s="118">
        <f t="shared" si="32"/>
        <v>0</v>
      </c>
      <c r="DC16" s="118">
        <f t="shared" si="33"/>
        <v>0</v>
      </c>
      <c r="DD16" s="118">
        <f t="shared" si="34"/>
        <v>0</v>
      </c>
      <c r="DE16" s="118">
        <f t="shared" si="35"/>
        <v>0</v>
      </c>
    </row>
    <row r="17" spans="1:109" ht="32.25" thickBot="1">
      <c r="A17" s="28" t="s">
        <v>214</v>
      </c>
      <c r="B17" s="28" t="s">
        <v>215</v>
      </c>
      <c r="C17" s="171">
        <v>15</v>
      </c>
      <c r="D17" s="121" t="s">
        <v>232</v>
      </c>
      <c r="E17" s="187" t="s">
        <v>32</v>
      </c>
      <c r="F17" s="183">
        <v>1</v>
      </c>
      <c r="G17" s="182"/>
      <c r="H17" s="182">
        <v>6</v>
      </c>
      <c r="I17" s="182">
        <v>3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7" t="s">
        <v>32</v>
      </c>
      <c r="V17" s="182"/>
      <c r="W17" s="182"/>
      <c r="X17" s="182">
        <v>3</v>
      </c>
      <c r="Y17" s="182">
        <v>2</v>
      </c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7" t="s">
        <v>32</v>
      </c>
      <c r="AL17" s="184">
        <v>1</v>
      </c>
      <c r="AM17" s="181">
        <v>1</v>
      </c>
      <c r="AN17" s="181">
        <v>3</v>
      </c>
      <c r="AO17" s="181">
        <v>3</v>
      </c>
      <c r="AP17" s="181"/>
      <c r="AQ17" s="181"/>
      <c r="AR17" s="181"/>
      <c r="AS17" s="181"/>
      <c r="AT17" s="181">
        <v>1</v>
      </c>
      <c r="AU17" s="181"/>
      <c r="AV17" s="181"/>
      <c r="AW17" s="181"/>
      <c r="AX17" s="181"/>
      <c r="AY17" s="181"/>
      <c r="AZ17" s="181"/>
      <c r="BA17" s="290"/>
      <c r="BB17" s="116">
        <f t="shared" si="36"/>
        <v>3</v>
      </c>
      <c r="BC17" s="105">
        <f t="shared" si="0"/>
        <v>2</v>
      </c>
      <c r="BD17" s="106">
        <f t="shared" si="1"/>
        <v>1</v>
      </c>
      <c r="BE17" s="106">
        <f t="shared" si="37"/>
        <v>3</v>
      </c>
      <c r="BF17" s="106">
        <f t="shared" si="2"/>
        <v>12</v>
      </c>
      <c r="BG17" s="106">
        <f t="shared" si="38"/>
        <v>15</v>
      </c>
      <c r="BH17" s="106">
        <f t="shared" si="3"/>
        <v>8</v>
      </c>
      <c r="BI17" s="106">
        <f t="shared" si="39"/>
        <v>23</v>
      </c>
      <c r="BJ17" s="106">
        <f t="shared" si="4"/>
        <v>0</v>
      </c>
      <c r="BK17" s="106">
        <f t="shared" si="5"/>
        <v>0</v>
      </c>
      <c r="BL17" s="106">
        <f t="shared" si="6"/>
        <v>0</v>
      </c>
      <c r="BM17" s="106">
        <f t="shared" si="7"/>
        <v>0</v>
      </c>
      <c r="BN17" s="106">
        <f t="shared" si="8"/>
        <v>1</v>
      </c>
      <c r="BO17" s="106">
        <f t="shared" si="40"/>
        <v>1</v>
      </c>
      <c r="BP17" s="106">
        <f t="shared" si="9"/>
        <v>0</v>
      </c>
      <c r="BQ17" s="106">
        <f t="shared" si="10"/>
        <v>0</v>
      </c>
      <c r="BR17" s="106">
        <f t="shared" si="41"/>
        <v>0</v>
      </c>
      <c r="BS17" s="106">
        <f t="shared" si="11"/>
        <v>0</v>
      </c>
      <c r="BT17" s="106">
        <f t="shared" si="12"/>
        <v>0</v>
      </c>
      <c r="BU17" s="106">
        <f t="shared" si="42"/>
        <v>0</v>
      </c>
      <c r="BV17" s="106">
        <f t="shared" si="13"/>
        <v>0</v>
      </c>
      <c r="BW17" s="107">
        <f t="shared" si="14"/>
        <v>0</v>
      </c>
      <c r="BX17" s="107">
        <f t="shared" si="43"/>
        <v>0</v>
      </c>
      <c r="BY17" s="94"/>
      <c r="BZ17" s="111">
        <f t="shared" si="44"/>
        <v>1320</v>
      </c>
      <c r="CA17" s="112">
        <f t="shared" si="45"/>
        <v>0</v>
      </c>
      <c r="CB17" s="112">
        <f t="shared" si="46"/>
        <v>0</v>
      </c>
      <c r="CC17" s="112">
        <f t="shared" si="47"/>
        <v>100</v>
      </c>
      <c r="CD17" s="112">
        <f t="shared" si="48"/>
        <v>0</v>
      </c>
      <c r="CE17" s="113">
        <f t="shared" si="49"/>
        <v>1420</v>
      </c>
      <c r="CF17" s="29">
        <f t="shared" si="15"/>
        <v>1200</v>
      </c>
      <c r="CG17" s="24">
        <f t="shared" si="50"/>
        <v>3</v>
      </c>
      <c r="CH17" s="29">
        <f t="shared" si="16"/>
        <v>1140</v>
      </c>
      <c r="CI17" s="24">
        <f t="shared" si="51"/>
        <v>4</v>
      </c>
      <c r="CJ17" s="29">
        <f t="shared" si="17"/>
        <v>1020</v>
      </c>
      <c r="CK17" s="24">
        <f t="shared" si="52"/>
        <v>5</v>
      </c>
      <c r="CM17" s="115">
        <f t="shared" si="18"/>
        <v>10.614044922823934</v>
      </c>
      <c r="CO17" s="118">
        <f t="shared" si="19"/>
        <v>9.523809523809524</v>
      </c>
      <c r="CP17" s="118">
        <f t="shared" si="20"/>
        <v>3.0303030303030303</v>
      </c>
      <c r="CQ17" s="118">
        <f t="shared" si="21"/>
        <v>13.953488372093023</v>
      </c>
      <c r="CR17" s="118">
        <f t="shared" si="22"/>
        <v>12.698412698412698</v>
      </c>
      <c r="CS17" s="118">
        <f t="shared" si="23"/>
        <v>0</v>
      </c>
      <c r="CT17" s="118">
        <f t="shared" si="24"/>
        <v>0</v>
      </c>
      <c r="CU17" s="118">
        <f t="shared" si="25"/>
        <v>0</v>
      </c>
      <c r="CV17" s="118" t="e">
        <f t="shared" si="26"/>
        <v>#DIV/0!</v>
      </c>
      <c r="CW17" s="118">
        <f t="shared" si="27"/>
        <v>33.333333333333336</v>
      </c>
      <c r="CX17" s="118" t="e">
        <f t="shared" si="28"/>
        <v>#DIV/0!</v>
      </c>
      <c r="CY17" s="118">
        <f t="shared" si="29"/>
        <v>0</v>
      </c>
      <c r="CZ17" s="118">
        <f t="shared" si="30"/>
        <v>0</v>
      </c>
      <c r="DA17" s="118" t="e">
        <f t="shared" si="31"/>
        <v>#DIV/0!</v>
      </c>
      <c r="DB17" s="118">
        <f t="shared" si="32"/>
        <v>0</v>
      </c>
      <c r="DC17" s="118">
        <f t="shared" si="33"/>
        <v>0</v>
      </c>
      <c r="DD17" s="118">
        <f t="shared" si="34"/>
        <v>0</v>
      </c>
      <c r="DE17" s="118">
        <f t="shared" si="35"/>
        <v>0</v>
      </c>
    </row>
    <row r="18" spans="1:125" ht="16.5" thickBot="1">
      <c r="A18" s="28" t="s">
        <v>214</v>
      </c>
      <c r="B18" s="28" t="s">
        <v>220</v>
      </c>
      <c r="C18" s="171">
        <v>16</v>
      </c>
      <c r="D18" s="121" t="s">
        <v>233</v>
      </c>
      <c r="E18" s="187" t="s">
        <v>32</v>
      </c>
      <c r="F18" s="205"/>
      <c r="G18" s="203"/>
      <c r="H18" s="206"/>
      <c r="I18" s="206">
        <v>1</v>
      </c>
      <c r="J18" s="206"/>
      <c r="K18" s="206"/>
      <c r="L18" s="203"/>
      <c r="M18" s="203"/>
      <c r="N18" s="203"/>
      <c r="O18" s="207"/>
      <c r="P18" s="203">
        <v>1</v>
      </c>
      <c r="Q18" s="203"/>
      <c r="R18" s="208"/>
      <c r="S18" s="209"/>
      <c r="T18" s="207">
        <v>1.4</v>
      </c>
      <c r="U18" s="187" t="s">
        <v>32</v>
      </c>
      <c r="V18" s="204"/>
      <c r="W18" s="206"/>
      <c r="X18" s="206"/>
      <c r="Y18" s="206">
        <v>4</v>
      </c>
      <c r="Z18" s="188"/>
      <c r="AA18" s="188">
        <v>1</v>
      </c>
      <c r="AB18" s="204"/>
      <c r="AC18" s="204"/>
      <c r="AD18" s="204"/>
      <c r="AE18" s="204"/>
      <c r="AF18" s="204">
        <v>1</v>
      </c>
      <c r="AG18" s="204"/>
      <c r="AH18" s="204"/>
      <c r="AI18" s="204"/>
      <c r="AJ18" s="204">
        <v>1.2</v>
      </c>
      <c r="AK18" s="187" t="s">
        <v>32</v>
      </c>
      <c r="AL18" s="210"/>
      <c r="AM18" s="206">
        <v>2</v>
      </c>
      <c r="AN18" s="206"/>
      <c r="AO18" s="204"/>
      <c r="AP18" s="204"/>
      <c r="AQ18" s="204">
        <v>5</v>
      </c>
      <c r="AR18" s="204"/>
      <c r="AS18" s="204"/>
      <c r="AT18" s="204"/>
      <c r="AU18" s="204"/>
      <c r="AV18" s="204">
        <v>1</v>
      </c>
      <c r="AW18" s="204"/>
      <c r="AX18" s="204"/>
      <c r="AY18" s="204"/>
      <c r="AZ18" s="204">
        <v>1.2</v>
      </c>
      <c r="BA18" s="290"/>
      <c r="BB18" s="116">
        <f t="shared" si="36"/>
        <v>3</v>
      </c>
      <c r="BC18" s="105">
        <f t="shared" si="0"/>
        <v>0</v>
      </c>
      <c r="BD18" s="106">
        <f t="shared" si="1"/>
        <v>2</v>
      </c>
      <c r="BE18" s="106">
        <f t="shared" si="37"/>
        <v>2</v>
      </c>
      <c r="BF18" s="106">
        <f t="shared" si="2"/>
        <v>0</v>
      </c>
      <c r="BG18" s="106">
        <f t="shared" si="38"/>
        <v>2</v>
      </c>
      <c r="BH18" s="106">
        <f t="shared" si="3"/>
        <v>5</v>
      </c>
      <c r="BI18" s="106">
        <f t="shared" si="39"/>
        <v>7</v>
      </c>
      <c r="BJ18" s="106">
        <f t="shared" si="4"/>
        <v>0</v>
      </c>
      <c r="BK18" s="106">
        <f t="shared" si="5"/>
        <v>6</v>
      </c>
      <c r="BL18" s="106">
        <f t="shared" si="6"/>
        <v>0</v>
      </c>
      <c r="BM18" s="106">
        <f t="shared" si="7"/>
        <v>0</v>
      </c>
      <c r="BN18" s="106">
        <f t="shared" si="8"/>
        <v>0</v>
      </c>
      <c r="BO18" s="106">
        <f t="shared" si="40"/>
        <v>0</v>
      </c>
      <c r="BP18" s="106">
        <f t="shared" si="9"/>
        <v>0</v>
      </c>
      <c r="BQ18" s="106">
        <f t="shared" si="10"/>
        <v>3</v>
      </c>
      <c r="BR18" s="106">
        <f t="shared" si="41"/>
        <v>3</v>
      </c>
      <c r="BS18" s="106">
        <f t="shared" si="11"/>
        <v>0</v>
      </c>
      <c r="BT18" s="106">
        <f t="shared" si="12"/>
        <v>0</v>
      </c>
      <c r="BU18" s="106">
        <f t="shared" si="42"/>
        <v>0</v>
      </c>
      <c r="BV18" s="106">
        <f t="shared" si="13"/>
        <v>0</v>
      </c>
      <c r="BW18" s="107">
        <f t="shared" si="14"/>
        <v>3.8</v>
      </c>
      <c r="BX18" s="107">
        <f t="shared" si="43"/>
        <v>3</v>
      </c>
      <c r="BY18" s="94"/>
      <c r="BZ18" s="111">
        <f t="shared" si="44"/>
        <v>360</v>
      </c>
      <c r="CA18" s="112">
        <f t="shared" si="45"/>
        <v>30</v>
      </c>
      <c r="CB18" s="112">
        <f t="shared" si="46"/>
        <v>0</v>
      </c>
      <c r="CC18" s="112">
        <f t="shared" si="47"/>
        <v>60</v>
      </c>
      <c r="CD18" s="112">
        <f t="shared" si="48"/>
        <v>30</v>
      </c>
      <c r="CE18" s="113">
        <f t="shared" si="49"/>
        <v>480</v>
      </c>
      <c r="CF18" s="29">
        <f t="shared" si="15"/>
        <v>260</v>
      </c>
      <c r="CG18" s="24">
        <f t="shared" si="50"/>
        <v>3</v>
      </c>
      <c r="CH18" s="29">
        <f t="shared" si="16"/>
        <v>200</v>
      </c>
      <c r="CI18" s="24">
        <f t="shared" si="51"/>
        <v>4</v>
      </c>
      <c r="CJ18" s="29">
        <f t="shared" si="17"/>
        <v>80</v>
      </c>
      <c r="CK18" s="24">
        <f t="shared" si="52"/>
        <v>5</v>
      </c>
      <c r="CM18" s="115">
        <f t="shared" si="18"/>
        <v>3.587846171095414</v>
      </c>
      <c r="CO18" s="118">
        <f t="shared" si="19"/>
        <v>0</v>
      </c>
      <c r="CP18" s="118">
        <f t="shared" si="20"/>
        <v>6.0606060606060606</v>
      </c>
      <c r="CQ18" s="118">
        <f t="shared" si="21"/>
        <v>0</v>
      </c>
      <c r="CR18" s="118">
        <f t="shared" si="22"/>
        <v>7.936507936507937</v>
      </c>
      <c r="CS18" s="118">
        <f t="shared" si="23"/>
        <v>0</v>
      </c>
      <c r="CT18" s="118">
        <f t="shared" si="24"/>
        <v>13.043478260869565</v>
      </c>
      <c r="CU18" s="118">
        <f t="shared" si="25"/>
        <v>0</v>
      </c>
      <c r="CV18" s="118" t="e">
        <f t="shared" si="26"/>
        <v>#DIV/0!</v>
      </c>
      <c r="CW18" s="118">
        <f t="shared" si="27"/>
        <v>0</v>
      </c>
      <c r="CX18" s="118" t="e">
        <f t="shared" si="28"/>
        <v>#DIV/0!</v>
      </c>
      <c r="CY18" s="118">
        <f t="shared" si="29"/>
        <v>60</v>
      </c>
      <c r="CZ18" s="118">
        <f t="shared" si="30"/>
        <v>60</v>
      </c>
      <c r="DA18" s="118" t="e">
        <f t="shared" si="31"/>
        <v>#DIV/0!</v>
      </c>
      <c r="DB18" s="118">
        <f t="shared" si="32"/>
        <v>0</v>
      </c>
      <c r="DC18" s="118">
        <f t="shared" si="33"/>
        <v>0</v>
      </c>
      <c r="DD18" s="118">
        <f t="shared" si="34"/>
        <v>12.218649517684886</v>
      </c>
      <c r="DE18" s="118">
        <f t="shared" si="35"/>
        <v>11.494252873563218</v>
      </c>
      <c r="DT18" s="24">
        <f>COUNTIF(BV18,"&lt;&gt;0")</f>
        <v>0</v>
      </c>
      <c r="DU18" s="24">
        <f>COUNTIF(BX18,"&lt;&gt;0")</f>
        <v>1</v>
      </c>
    </row>
    <row r="19" spans="1:125" ht="16.5" thickBot="1">
      <c r="A19" s="28" t="s">
        <v>214</v>
      </c>
      <c r="B19" s="28" t="s">
        <v>215</v>
      </c>
      <c r="C19" s="171">
        <v>17</v>
      </c>
      <c r="D19" s="121" t="s">
        <v>234</v>
      </c>
      <c r="E19" s="187" t="s">
        <v>32</v>
      </c>
      <c r="F19" s="180">
        <v>4</v>
      </c>
      <c r="G19" s="181">
        <v>2</v>
      </c>
      <c r="H19" s="182">
        <v>4</v>
      </c>
      <c r="I19" s="182">
        <v>2</v>
      </c>
      <c r="J19" s="182"/>
      <c r="K19" s="182">
        <v>1</v>
      </c>
      <c r="L19" s="182"/>
      <c r="M19" s="181"/>
      <c r="N19" s="181"/>
      <c r="O19" s="181"/>
      <c r="P19" s="181"/>
      <c r="Q19" s="181"/>
      <c r="R19" s="181"/>
      <c r="S19" s="181"/>
      <c r="T19" s="181">
        <v>1</v>
      </c>
      <c r="U19" s="187" t="s">
        <v>32</v>
      </c>
      <c r="V19" s="181">
        <v>5</v>
      </c>
      <c r="W19" s="181">
        <v>2</v>
      </c>
      <c r="X19" s="182">
        <v>10</v>
      </c>
      <c r="Y19" s="178">
        <v>3</v>
      </c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7" t="s">
        <v>32</v>
      </c>
      <c r="AL19" s="184">
        <v>3</v>
      </c>
      <c r="AM19" s="181">
        <v>1</v>
      </c>
      <c r="AN19" s="181">
        <v>5</v>
      </c>
      <c r="AO19" s="181">
        <v>2</v>
      </c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>
        <v>1</v>
      </c>
      <c r="BA19" s="290"/>
      <c r="BB19" s="116">
        <f t="shared" si="36"/>
        <v>3</v>
      </c>
      <c r="BC19" s="105">
        <f t="shared" si="0"/>
        <v>12</v>
      </c>
      <c r="BD19" s="106">
        <f t="shared" si="1"/>
        <v>5</v>
      </c>
      <c r="BE19" s="106">
        <f t="shared" si="37"/>
        <v>17</v>
      </c>
      <c r="BF19" s="106">
        <f t="shared" si="2"/>
        <v>19</v>
      </c>
      <c r="BG19" s="106">
        <f t="shared" si="38"/>
        <v>36</v>
      </c>
      <c r="BH19" s="106">
        <f t="shared" si="3"/>
        <v>7</v>
      </c>
      <c r="BI19" s="106">
        <f t="shared" si="39"/>
        <v>43</v>
      </c>
      <c r="BJ19" s="106">
        <f t="shared" si="4"/>
        <v>0</v>
      </c>
      <c r="BK19" s="106">
        <f t="shared" si="5"/>
        <v>1</v>
      </c>
      <c r="BL19" s="106">
        <f t="shared" si="6"/>
        <v>0</v>
      </c>
      <c r="BM19" s="106">
        <f t="shared" si="7"/>
        <v>0</v>
      </c>
      <c r="BN19" s="106">
        <f t="shared" si="8"/>
        <v>0</v>
      </c>
      <c r="BO19" s="106">
        <f t="shared" si="40"/>
        <v>0</v>
      </c>
      <c r="BP19" s="106">
        <f t="shared" si="9"/>
        <v>0</v>
      </c>
      <c r="BQ19" s="106">
        <f t="shared" si="10"/>
        <v>0</v>
      </c>
      <c r="BR19" s="106">
        <f t="shared" si="41"/>
        <v>0</v>
      </c>
      <c r="BS19" s="106">
        <f t="shared" si="11"/>
        <v>0</v>
      </c>
      <c r="BT19" s="106">
        <f t="shared" si="12"/>
        <v>0</v>
      </c>
      <c r="BU19" s="106">
        <f t="shared" si="42"/>
        <v>0</v>
      </c>
      <c r="BV19" s="106">
        <f t="shared" si="13"/>
        <v>0</v>
      </c>
      <c r="BW19" s="107">
        <f t="shared" si="14"/>
        <v>2</v>
      </c>
      <c r="BX19" s="107">
        <f t="shared" si="43"/>
        <v>2</v>
      </c>
      <c r="BY19" s="94"/>
      <c r="BZ19" s="111">
        <f t="shared" si="44"/>
        <v>3020</v>
      </c>
      <c r="CA19" s="112">
        <f t="shared" si="45"/>
        <v>10</v>
      </c>
      <c r="CB19" s="112">
        <f t="shared" si="46"/>
        <v>0</v>
      </c>
      <c r="CC19" s="112">
        <f t="shared" si="47"/>
        <v>0</v>
      </c>
      <c r="CD19" s="112">
        <f t="shared" si="48"/>
        <v>20</v>
      </c>
      <c r="CE19" s="113">
        <f t="shared" si="49"/>
        <v>3050</v>
      </c>
      <c r="CF19" s="29">
        <f t="shared" si="15"/>
        <v>2830</v>
      </c>
      <c r="CG19" s="24">
        <f t="shared" si="50"/>
        <v>3</v>
      </c>
      <c r="CH19" s="29">
        <f t="shared" si="16"/>
        <v>2770</v>
      </c>
      <c r="CI19" s="24">
        <f t="shared" si="51"/>
        <v>4</v>
      </c>
      <c r="CJ19" s="29">
        <f t="shared" si="17"/>
        <v>2650</v>
      </c>
      <c r="CK19" s="24">
        <f t="shared" si="52"/>
        <v>5</v>
      </c>
      <c r="CM19" s="115">
        <f t="shared" si="18"/>
        <v>22.797772545502113</v>
      </c>
      <c r="CO19" s="118">
        <f t="shared" si="19"/>
        <v>57.142857142857146</v>
      </c>
      <c r="CP19" s="118">
        <f t="shared" si="20"/>
        <v>15.15151515151515</v>
      </c>
      <c r="CQ19" s="118">
        <f t="shared" si="21"/>
        <v>22.093023255813954</v>
      </c>
      <c r="CR19" s="118">
        <f t="shared" si="22"/>
        <v>11.11111111111111</v>
      </c>
      <c r="CS19" s="118">
        <f t="shared" si="23"/>
        <v>0</v>
      </c>
      <c r="CT19" s="118">
        <f t="shared" si="24"/>
        <v>2.1739130434782608</v>
      </c>
      <c r="CU19" s="118">
        <f t="shared" si="25"/>
        <v>0</v>
      </c>
      <c r="CV19" s="118" t="e">
        <f t="shared" si="26"/>
        <v>#DIV/0!</v>
      </c>
      <c r="CW19" s="118">
        <f t="shared" si="27"/>
        <v>0</v>
      </c>
      <c r="CX19" s="118" t="e">
        <f t="shared" si="28"/>
        <v>#DIV/0!</v>
      </c>
      <c r="CY19" s="118">
        <f t="shared" si="29"/>
        <v>0</v>
      </c>
      <c r="CZ19" s="118">
        <f t="shared" si="30"/>
        <v>0</v>
      </c>
      <c r="DA19" s="118" t="e">
        <f t="shared" si="31"/>
        <v>#DIV/0!</v>
      </c>
      <c r="DB19" s="118">
        <f t="shared" si="32"/>
        <v>0</v>
      </c>
      <c r="DC19" s="118">
        <f t="shared" si="33"/>
        <v>0</v>
      </c>
      <c r="DD19" s="118">
        <f t="shared" si="34"/>
        <v>6.430868167202572</v>
      </c>
      <c r="DE19" s="118">
        <f t="shared" si="35"/>
        <v>7.662835249042145</v>
      </c>
      <c r="DT19" s="24">
        <f>COUNTIF(BV19,"&lt;&gt;0")</f>
        <v>0</v>
      </c>
      <c r="DU19" s="24">
        <f>COUNTIF(BX19,"&lt;&gt;0")</f>
        <v>1</v>
      </c>
    </row>
    <row r="20" spans="1:125" ht="16.5" thickBot="1">
      <c r="A20" s="28" t="s">
        <v>214</v>
      </c>
      <c r="B20" s="28" t="s">
        <v>215</v>
      </c>
      <c r="C20" s="171">
        <v>18</v>
      </c>
      <c r="D20" s="121" t="s">
        <v>235</v>
      </c>
      <c r="E20" s="187"/>
      <c r="F20" s="180"/>
      <c r="G20" s="182"/>
      <c r="H20" s="182"/>
      <c r="I20" s="182"/>
      <c r="J20" s="182"/>
      <c r="K20" s="182"/>
      <c r="L20" s="181"/>
      <c r="M20" s="181"/>
      <c r="N20" s="181"/>
      <c r="O20" s="181"/>
      <c r="P20" s="181"/>
      <c r="Q20" s="181"/>
      <c r="R20" s="181"/>
      <c r="S20" s="181"/>
      <c r="T20" s="181"/>
      <c r="U20" s="187" t="s">
        <v>32</v>
      </c>
      <c r="V20" s="182">
        <v>2</v>
      </c>
      <c r="W20" s="182">
        <v>1</v>
      </c>
      <c r="X20" s="182">
        <v>1</v>
      </c>
      <c r="Y20" s="182"/>
      <c r="Z20" s="181"/>
      <c r="AA20" s="181">
        <v>1</v>
      </c>
      <c r="AB20" s="181">
        <v>2</v>
      </c>
      <c r="AC20" s="181"/>
      <c r="AD20" s="181"/>
      <c r="AE20" s="181"/>
      <c r="AF20" s="181"/>
      <c r="AG20" s="181"/>
      <c r="AH20" s="181"/>
      <c r="AI20" s="181"/>
      <c r="AJ20" s="181">
        <v>1</v>
      </c>
      <c r="AK20" s="187" t="s">
        <v>32</v>
      </c>
      <c r="AL20" s="184"/>
      <c r="AM20" s="181"/>
      <c r="AN20" s="181"/>
      <c r="AO20" s="181">
        <v>2</v>
      </c>
      <c r="AP20" s="181"/>
      <c r="AQ20" s="181">
        <v>1</v>
      </c>
      <c r="AR20" s="181"/>
      <c r="AS20" s="181"/>
      <c r="AT20" s="181"/>
      <c r="AU20" s="181"/>
      <c r="AV20" s="181"/>
      <c r="AW20" s="181"/>
      <c r="AX20" s="181"/>
      <c r="AY20" s="181"/>
      <c r="AZ20" s="181">
        <v>1</v>
      </c>
      <c r="BA20" s="290"/>
      <c r="BB20" s="116">
        <f t="shared" si="36"/>
        <v>2</v>
      </c>
      <c r="BC20" s="105">
        <f t="shared" si="0"/>
        <v>2</v>
      </c>
      <c r="BD20" s="106">
        <f t="shared" si="1"/>
        <v>1</v>
      </c>
      <c r="BE20" s="106">
        <f t="shared" si="37"/>
        <v>3</v>
      </c>
      <c r="BF20" s="106">
        <f t="shared" si="2"/>
        <v>1</v>
      </c>
      <c r="BG20" s="106">
        <f t="shared" si="38"/>
        <v>4</v>
      </c>
      <c r="BH20" s="106">
        <f t="shared" si="3"/>
        <v>2</v>
      </c>
      <c r="BI20" s="106">
        <f t="shared" si="39"/>
        <v>6</v>
      </c>
      <c r="BJ20" s="106">
        <f t="shared" si="4"/>
        <v>0</v>
      </c>
      <c r="BK20" s="106">
        <f t="shared" si="5"/>
        <v>2</v>
      </c>
      <c r="BL20" s="106">
        <f t="shared" si="6"/>
        <v>2</v>
      </c>
      <c r="BM20" s="106">
        <f t="shared" si="7"/>
        <v>0</v>
      </c>
      <c r="BN20" s="106">
        <f t="shared" si="8"/>
        <v>0</v>
      </c>
      <c r="BO20" s="106">
        <f t="shared" si="40"/>
        <v>0</v>
      </c>
      <c r="BP20" s="106">
        <f t="shared" si="9"/>
        <v>0</v>
      </c>
      <c r="BQ20" s="106">
        <f t="shared" si="10"/>
        <v>0</v>
      </c>
      <c r="BR20" s="106">
        <f t="shared" si="41"/>
        <v>0</v>
      </c>
      <c r="BS20" s="106">
        <f t="shared" si="11"/>
        <v>0</v>
      </c>
      <c r="BT20" s="106">
        <f t="shared" si="12"/>
        <v>0</v>
      </c>
      <c r="BU20" s="106">
        <f t="shared" si="42"/>
        <v>0</v>
      </c>
      <c r="BV20" s="106">
        <f t="shared" si="13"/>
        <v>0</v>
      </c>
      <c r="BW20" s="107">
        <f t="shared" si="14"/>
        <v>2</v>
      </c>
      <c r="BX20" s="107">
        <f t="shared" si="43"/>
        <v>2</v>
      </c>
      <c r="BY20" s="94"/>
      <c r="BZ20" s="111">
        <f t="shared" si="44"/>
        <v>420</v>
      </c>
      <c r="CA20" s="112">
        <f t="shared" si="45"/>
        <v>20</v>
      </c>
      <c r="CB20" s="112">
        <f t="shared" si="46"/>
        <v>10</v>
      </c>
      <c r="CC20" s="112">
        <f t="shared" si="47"/>
        <v>0</v>
      </c>
      <c r="CD20" s="112">
        <f t="shared" si="48"/>
        <v>20</v>
      </c>
      <c r="CE20" s="113">
        <f t="shared" si="49"/>
        <v>470</v>
      </c>
      <c r="CF20" s="29">
        <f t="shared" si="15"/>
        <v>323.33333333333337</v>
      </c>
      <c r="CG20" s="24">
        <f t="shared" si="50"/>
        <v>3</v>
      </c>
      <c r="CH20" s="29">
        <f t="shared" si="16"/>
        <v>283.33333333333337</v>
      </c>
      <c r="CI20" s="24">
        <f t="shared" si="51"/>
        <v>4</v>
      </c>
      <c r="CJ20" s="29">
        <f t="shared" si="17"/>
        <v>203.33333333333331</v>
      </c>
      <c r="CK20" s="24">
        <f t="shared" si="52"/>
        <v>5</v>
      </c>
      <c r="CM20" s="115">
        <f t="shared" si="18"/>
        <v>3.51309937586426</v>
      </c>
      <c r="CO20" s="118">
        <f t="shared" si="19"/>
        <v>9.523809523809524</v>
      </c>
      <c r="CP20" s="118">
        <f t="shared" si="20"/>
        <v>3.0303030303030303</v>
      </c>
      <c r="CQ20" s="118">
        <f t="shared" si="21"/>
        <v>1.1627906976744187</v>
      </c>
      <c r="CR20" s="118">
        <f t="shared" si="22"/>
        <v>3.1746031746031744</v>
      </c>
      <c r="CS20" s="118">
        <f t="shared" si="23"/>
        <v>0</v>
      </c>
      <c r="CT20" s="118">
        <f t="shared" si="24"/>
        <v>4.3478260869565215</v>
      </c>
      <c r="CU20" s="118">
        <f t="shared" si="25"/>
        <v>33.333333333333336</v>
      </c>
      <c r="CV20" s="118" t="e">
        <f t="shared" si="26"/>
        <v>#DIV/0!</v>
      </c>
      <c r="CW20" s="118">
        <f t="shared" si="27"/>
        <v>0</v>
      </c>
      <c r="CX20" s="118" t="e">
        <f t="shared" si="28"/>
        <v>#DIV/0!</v>
      </c>
      <c r="CY20" s="118">
        <f t="shared" si="29"/>
        <v>0</v>
      </c>
      <c r="CZ20" s="118">
        <f t="shared" si="30"/>
        <v>0</v>
      </c>
      <c r="DA20" s="118" t="e">
        <f t="shared" si="31"/>
        <v>#DIV/0!</v>
      </c>
      <c r="DB20" s="118">
        <f t="shared" si="32"/>
        <v>0</v>
      </c>
      <c r="DC20" s="118">
        <f t="shared" si="33"/>
        <v>0</v>
      </c>
      <c r="DD20" s="118">
        <f t="shared" si="34"/>
        <v>6.430868167202572</v>
      </c>
      <c r="DE20" s="118">
        <f t="shared" si="35"/>
        <v>7.662835249042145</v>
      </c>
      <c r="DT20" s="24">
        <f>COUNTIF(BV20,"&lt;&gt;0")</f>
        <v>0</v>
      </c>
      <c r="DU20" s="24">
        <f>COUNTIF(BX20,"&lt;&gt;0")</f>
        <v>1</v>
      </c>
    </row>
    <row r="21" spans="1:125" ht="16.5" thickBot="1">
      <c r="A21" s="28" t="s">
        <v>214</v>
      </c>
      <c r="B21" s="28" t="s">
        <v>215</v>
      </c>
      <c r="C21" s="171">
        <v>19</v>
      </c>
      <c r="D21" s="121" t="s">
        <v>236</v>
      </c>
      <c r="E21" s="187" t="s">
        <v>32</v>
      </c>
      <c r="F21" s="180"/>
      <c r="G21" s="182"/>
      <c r="H21" s="182">
        <v>1</v>
      </c>
      <c r="I21" s="182">
        <v>3</v>
      </c>
      <c r="J21" s="182"/>
      <c r="K21" s="182">
        <v>2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7" t="s">
        <v>32</v>
      </c>
      <c r="V21" s="181"/>
      <c r="W21" s="182">
        <v>1</v>
      </c>
      <c r="X21" s="182">
        <v>2</v>
      </c>
      <c r="Y21" s="182">
        <v>1</v>
      </c>
      <c r="Z21" s="182"/>
      <c r="AA21" s="182"/>
      <c r="AB21" s="181"/>
      <c r="AC21" s="181"/>
      <c r="AD21" s="181"/>
      <c r="AE21" s="181"/>
      <c r="AF21" s="181"/>
      <c r="AG21" s="181"/>
      <c r="AH21" s="181"/>
      <c r="AI21" s="181"/>
      <c r="AJ21" s="181"/>
      <c r="AK21" s="187" t="s">
        <v>32</v>
      </c>
      <c r="AL21" s="184">
        <v>1</v>
      </c>
      <c r="AM21" s="181"/>
      <c r="AN21" s="181"/>
      <c r="AO21" s="181">
        <v>1</v>
      </c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>
        <v>2</v>
      </c>
      <c r="BA21" s="290"/>
      <c r="BB21" s="116">
        <f>COUNTIF(E21:AZ21,"P")</f>
        <v>3</v>
      </c>
      <c r="BC21" s="105">
        <f>SUM(F21,V21,AL21)</f>
        <v>1</v>
      </c>
      <c r="BD21" s="106">
        <f>SUM(G21,W21,AM21)</f>
        <v>1</v>
      </c>
      <c r="BE21" s="106">
        <f>SUM(BC21:BD21)</f>
        <v>2</v>
      </c>
      <c r="BF21" s="106">
        <f>SUM(H21,X21,AN21)</f>
        <v>3</v>
      </c>
      <c r="BG21" s="106">
        <f>SUM(BE21:BF21)</f>
        <v>5</v>
      </c>
      <c r="BH21" s="106">
        <f>SUM(I21,Y21,AO21)</f>
        <v>5</v>
      </c>
      <c r="BI21" s="106">
        <f>BC21+BD21+BF21+BH21</f>
        <v>10</v>
      </c>
      <c r="BJ21" s="106">
        <f>SUM(J21,Z21,AP21)</f>
        <v>0</v>
      </c>
      <c r="BK21" s="106">
        <f>SUM(K21,AA21,AQ21)</f>
        <v>2</v>
      </c>
      <c r="BL21" s="106">
        <f>SUM(L21,AB21,AR21)</f>
        <v>0</v>
      </c>
      <c r="BM21" s="106">
        <f>SUM(AS21,AC21,M21)</f>
        <v>0</v>
      </c>
      <c r="BN21" s="106">
        <f>SUM(AT21,AD21,N21)</f>
        <v>0</v>
      </c>
      <c r="BO21" s="106">
        <f>SUM(BM21:BN21)</f>
        <v>0</v>
      </c>
      <c r="BP21" s="106">
        <f>SUM(AU21,AE21,O21)</f>
        <v>0</v>
      </c>
      <c r="BQ21" s="106">
        <f>SUM(AV21,AF21,P21)</f>
        <v>0</v>
      </c>
      <c r="BR21" s="106">
        <f>IF(BQ21&gt;=3,3,BQ21)</f>
        <v>0</v>
      </c>
      <c r="BS21" s="106">
        <f>SUM(AW21,AG21,Q21)</f>
        <v>0</v>
      </c>
      <c r="BT21" s="106">
        <f>SUM(AX21,AH21,R21)</f>
        <v>0</v>
      </c>
      <c r="BU21" s="106">
        <f>SUM(BS21:BT21)</f>
        <v>0</v>
      </c>
      <c r="BV21" s="106">
        <f>SUM(AY21,AI21,S21)</f>
        <v>0</v>
      </c>
      <c r="BW21" s="107">
        <f>SUM(AZ21,AJ21,T21)</f>
        <v>2</v>
      </c>
      <c r="BX21" s="107">
        <f>IF(BW21&gt;=3,3,BW21)</f>
        <v>2</v>
      </c>
      <c r="BY21" s="94"/>
      <c r="BZ21" s="111">
        <f>(BC21*100)+(BD21*80)+(BF21*60)+(BH21*40)+(BJ21*20)</f>
        <v>560</v>
      </c>
      <c r="CA21" s="112">
        <f>IF(BK21&gt;3,30,BK21*10)</f>
        <v>20</v>
      </c>
      <c r="CB21" s="112">
        <f>IF(BL21&gt;3,15,BL21*5)</f>
        <v>0</v>
      </c>
      <c r="CC21" s="112">
        <f>(BM21*200)+(BN21*100)+(BP21*50)+(BR21*20)</f>
        <v>0</v>
      </c>
      <c r="CD21" s="112">
        <f>(BS21*100)+(BT21*50)+(BV21*25)+(BX21*10)</f>
        <v>20</v>
      </c>
      <c r="CE21" s="113">
        <f>IF(BB21&gt;0,SUM(BZ21:CD21),"")</f>
        <v>600</v>
      </c>
      <c r="CF21" s="29">
        <f t="shared" si="15"/>
        <v>380</v>
      </c>
      <c r="CG21" s="24">
        <f>IF(BB21=0," ",IF(CF21&gt;=0,3,"NAO"))</f>
        <v>3</v>
      </c>
      <c r="CH21" s="29">
        <f t="shared" si="16"/>
        <v>320</v>
      </c>
      <c r="CI21" s="24">
        <f>IF(BB21=0," ",IF(CH21&gt;=0,4,"NAO"))</f>
        <v>4</v>
      </c>
      <c r="CJ21" s="29">
        <f t="shared" si="17"/>
        <v>200</v>
      </c>
      <c r="CK21" s="24">
        <f>IF(BB21=0," ",IF(CJ21&gt;=0,5,"NAO"))</f>
        <v>5</v>
      </c>
      <c r="CM21" s="115">
        <f t="shared" si="18"/>
        <v>4.484807713869268</v>
      </c>
      <c r="CO21" s="118">
        <f t="shared" si="19"/>
        <v>4.761904761904762</v>
      </c>
      <c r="CP21" s="118">
        <f t="shared" si="20"/>
        <v>3.0303030303030303</v>
      </c>
      <c r="CQ21" s="118">
        <f t="shared" si="21"/>
        <v>3.488372093023256</v>
      </c>
      <c r="CR21" s="118">
        <f t="shared" si="22"/>
        <v>7.936507936507937</v>
      </c>
      <c r="CS21" s="118">
        <f t="shared" si="23"/>
        <v>0</v>
      </c>
      <c r="CT21" s="118">
        <f t="shared" si="24"/>
        <v>4.3478260869565215</v>
      </c>
      <c r="CU21" s="118">
        <f t="shared" si="25"/>
        <v>0</v>
      </c>
      <c r="CV21" s="118" t="e">
        <f t="shared" si="26"/>
        <v>#DIV/0!</v>
      </c>
      <c r="CW21" s="118">
        <f t="shared" si="27"/>
        <v>0</v>
      </c>
      <c r="CX21" s="118" t="e">
        <f t="shared" si="28"/>
        <v>#DIV/0!</v>
      </c>
      <c r="CY21" s="118">
        <f t="shared" si="29"/>
        <v>0</v>
      </c>
      <c r="CZ21" s="118">
        <f t="shared" si="30"/>
        <v>0</v>
      </c>
      <c r="DA21" s="118" t="e">
        <f t="shared" si="31"/>
        <v>#DIV/0!</v>
      </c>
      <c r="DB21" s="118">
        <f t="shared" si="32"/>
        <v>0</v>
      </c>
      <c r="DC21" s="118">
        <f t="shared" si="33"/>
        <v>0</v>
      </c>
      <c r="DD21" s="118">
        <f t="shared" si="34"/>
        <v>6.430868167202572</v>
      </c>
      <c r="DE21" s="118">
        <f t="shared" si="35"/>
        <v>7.662835249042145</v>
      </c>
      <c r="DT21" s="24"/>
      <c r="DU21" s="24"/>
    </row>
    <row r="22" spans="2:89" ht="16.5" thickBot="1">
      <c r="B22" s="30"/>
      <c r="C22" s="31"/>
      <c r="D22" s="32"/>
      <c r="E22" s="189"/>
      <c r="F22" s="190"/>
      <c r="G22" s="191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89"/>
      <c r="V22" s="191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89"/>
      <c r="AL22" s="191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27"/>
      <c r="BB22" s="80">
        <f>SUM(BB3:BB21)</f>
        <v>47</v>
      </c>
      <c r="BC22" s="36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7"/>
      <c r="BY22" s="30"/>
      <c r="BZ22" s="31"/>
      <c r="CA22" s="31"/>
      <c r="CB22" s="31"/>
      <c r="CC22" s="31"/>
      <c r="CD22" s="31"/>
      <c r="CE22" s="31"/>
      <c r="CF22" s="30"/>
      <c r="CG22" s="30"/>
      <c r="CH22" s="30"/>
      <c r="CI22" s="30"/>
      <c r="CJ22" s="30"/>
      <c r="CK22" s="30"/>
    </row>
    <row r="23" spans="4:82" ht="16.5" thickBot="1">
      <c r="D23" s="8" t="s">
        <v>33</v>
      </c>
      <c r="E23" s="192"/>
      <c r="F23" s="179"/>
      <c r="G23" s="179">
        <v>1</v>
      </c>
      <c r="H23" s="179">
        <v>4</v>
      </c>
      <c r="I23" s="179">
        <v>12</v>
      </c>
      <c r="J23" s="179"/>
      <c r="K23" s="179">
        <v>2</v>
      </c>
      <c r="L23" s="179">
        <v>1</v>
      </c>
      <c r="M23" s="179"/>
      <c r="N23" s="179"/>
      <c r="O23" s="179"/>
      <c r="P23" s="179"/>
      <c r="Q23" s="179"/>
      <c r="R23" s="179"/>
      <c r="S23" s="179"/>
      <c r="T23" s="179"/>
      <c r="U23" s="177"/>
      <c r="V23" s="179"/>
      <c r="W23" s="179">
        <v>1</v>
      </c>
      <c r="X23" s="179">
        <v>7</v>
      </c>
      <c r="Y23" s="179">
        <v>7</v>
      </c>
      <c r="Z23" s="179">
        <v>1</v>
      </c>
      <c r="AA23" s="179"/>
      <c r="AB23" s="179">
        <v>1</v>
      </c>
      <c r="AC23" s="179"/>
      <c r="AD23" s="179"/>
      <c r="AE23" s="179"/>
      <c r="AF23" s="179"/>
      <c r="AG23" s="179"/>
      <c r="AH23" s="179"/>
      <c r="AI23" s="179"/>
      <c r="AJ23" s="179"/>
      <c r="AK23" s="179"/>
      <c r="AL23" s="193"/>
      <c r="AM23" s="193">
        <v>5</v>
      </c>
      <c r="AN23" s="193">
        <v>4</v>
      </c>
      <c r="AO23" s="193">
        <v>1</v>
      </c>
      <c r="AP23" s="193">
        <v>1</v>
      </c>
      <c r="AQ23" s="193">
        <v>1</v>
      </c>
      <c r="AR23" s="193"/>
      <c r="AS23" s="193"/>
      <c r="AT23" s="193">
        <v>1</v>
      </c>
      <c r="AU23" s="193"/>
      <c r="AV23" s="193"/>
      <c r="AW23" s="193"/>
      <c r="AX23" s="193"/>
      <c r="AY23" s="193"/>
      <c r="AZ23" s="193">
        <v>1</v>
      </c>
      <c r="BA23" s="123"/>
      <c r="BB23" s="98">
        <f>BB22/3</f>
        <v>15.666666666666666</v>
      </c>
      <c r="BC23" s="1">
        <f>SUM(F23,V23,AL23)</f>
        <v>0</v>
      </c>
      <c r="BD23" s="40">
        <f>SUM(G23,W23,AM23)</f>
        <v>7</v>
      </c>
      <c r="BE23" s="40"/>
      <c r="BF23" s="40">
        <f>SUM(H23,X23,AN23)</f>
        <v>15</v>
      </c>
      <c r="BG23" s="40"/>
      <c r="BH23" s="40">
        <f>SUM(I23,Y23,AO23)</f>
        <v>20</v>
      </c>
      <c r="BI23" s="40"/>
      <c r="BJ23" s="40">
        <f>SUM(J23,Z23,AP23)</f>
        <v>2</v>
      </c>
      <c r="BK23" s="40">
        <f>SUM(K23,AA23,AQ23)</f>
        <v>3</v>
      </c>
      <c r="BL23" s="40">
        <f>SUM(L23,AB23,AR23)</f>
        <v>2</v>
      </c>
      <c r="BM23" s="41">
        <f>SUM(AS23,AC23,M23)</f>
        <v>0</v>
      </c>
      <c r="BN23" s="41">
        <f>SUM(AT23,AD23,N23)</f>
        <v>1</v>
      </c>
      <c r="BO23" s="41"/>
      <c r="BP23" s="41">
        <f>SUM(AU23,AE23,O23)</f>
        <v>0</v>
      </c>
      <c r="BQ23" s="41"/>
      <c r="BR23" s="41">
        <f>SUM(AV23,AF23,P23)</f>
        <v>0</v>
      </c>
      <c r="BS23" s="41">
        <f>SUM(AW23,AG23,Q23)</f>
        <v>0</v>
      </c>
      <c r="BT23" s="41">
        <f>SUM(AX23,AH23,R23)</f>
        <v>0</v>
      </c>
      <c r="BU23" s="41"/>
      <c r="BV23" s="41">
        <f>SUM(AY23,AI23,S23)</f>
        <v>0</v>
      </c>
      <c r="BW23" s="41"/>
      <c r="BX23" s="42">
        <f>SUM(AZ23,AJ23,T23)</f>
        <v>1</v>
      </c>
      <c r="CC23" s="43"/>
      <c r="CD23" s="43"/>
    </row>
    <row r="24" spans="79:109" ht="15.75">
      <c r="CA24" s="22"/>
      <c r="CL24">
        <f>SUM(CL3:CL21)</f>
        <v>0</v>
      </c>
      <c r="CM24" t="e">
        <f>SUM(CM3:CM21)</f>
        <v>#VALUE!</v>
      </c>
      <c r="CO24">
        <f aca="true" t="shared" si="53" ref="CO24:DE24">SUM(CO3:CO21)</f>
        <v>100</v>
      </c>
      <c r="CP24">
        <f t="shared" si="53"/>
        <v>100.00000000000001</v>
      </c>
      <c r="CQ24">
        <f t="shared" si="53"/>
        <v>99.99999999999999</v>
      </c>
      <c r="CR24">
        <f t="shared" si="53"/>
        <v>100.00000000000001</v>
      </c>
      <c r="CS24">
        <f t="shared" si="53"/>
        <v>99.99999999999997</v>
      </c>
      <c r="CT24">
        <f t="shared" si="53"/>
        <v>99.99999999999999</v>
      </c>
      <c r="CU24">
        <f t="shared" si="53"/>
        <v>100</v>
      </c>
      <c r="CV24" t="e">
        <f t="shared" si="53"/>
        <v>#DIV/0!</v>
      </c>
      <c r="CW24">
        <f t="shared" si="53"/>
        <v>100</v>
      </c>
      <c r="CX24" t="e">
        <f t="shared" si="53"/>
        <v>#DIV/0!</v>
      </c>
      <c r="CY24">
        <f t="shared" si="53"/>
        <v>100</v>
      </c>
      <c r="CZ24">
        <f t="shared" si="53"/>
        <v>100</v>
      </c>
      <c r="DA24" t="e">
        <f t="shared" si="53"/>
        <v>#DIV/0!</v>
      </c>
      <c r="DB24">
        <f t="shared" si="53"/>
        <v>100</v>
      </c>
      <c r="DC24">
        <f t="shared" si="53"/>
        <v>100</v>
      </c>
      <c r="DD24">
        <f t="shared" si="53"/>
        <v>100</v>
      </c>
      <c r="DE24">
        <f t="shared" si="53"/>
        <v>99.99999999999999</v>
      </c>
    </row>
    <row r="25" ht="16.5" thickBot="1"/>
    <row r="26" spans="5:83" ht="16.5" thickBot="1">
      <c r="E26" t="s">
        <v>34</v>
      </c>
      <c r="F26" t="s">
        <v>35</v>
      </c>
      <c r="G26" t="s">
        <v>36</v>
      </c>
      <c r="V26" s="43"/>
      <c r="BC26" s="18" t="s">
        <v>4</v>
      </c>
      <c r="BD26" s="19" t="s">
        <v>5</v>
      </c>
      <c r="BE26" s="19"/>
      <c r="BF26" s="19" t="s">
        <v>6</v>
      </c>
      <c r="BG26" s="19"/>
      <c r="BH26" s="19" t="s">
        <v>7</v>
      </c>
      <c r="BI26" s="19"/>
      <c r="BJ26" s="19" t="s">
        <v>8</v>
      </c>
      <c r="BK26" s="19" t="s">
        <v>9</v>
      </c>
      <c r="BL26" s="19" t="s">
        <v>10</v>
      </c>
      <c r="BM26" s="19" t="s">
        <v>11</v>
      </c>
      <c r="BN26" s="19" t="s">
        <v>12</v>
      </c>
      <c r="BO26" s="19"/>
      <c r="BP26" s="19" t="s">
        <v>13</v>
      </c>
      <c r="BQ26" s="19"/>
      <c r="BR26" s="19" t="s">
        <v>23</v>
      </c>
      <c r="BS26" s="19" t="s">
        <v>15</v>
      </c>
      <c r="BT26" s="19" t="s">
        <v>16</v>
      </c>
      <c r="BU26" s="19"/>
      <c r="BV26" s="19" t="s">
        <v>17</v>
      </c>
      <c r="BW26" s="19"/>
      <c r="BX26" s="21" t="s">
        <v>18</v>
      </c>
      <c r="BY26" s="286" t="s">
        <v>37</v>
      </c>
      <c r="BZ26" s="287"/>
      <c r="CA26" s="287"/>
      <c r="CB26" s="287"/>
      <c r="CC26" s="288"/>
      <c r="CD26" s="277" t="s">
        <v>38</v>
      </c>
      <c r="CE26" s="278"/>
    </row>
    <row r="27" spans="5:83" ht="16.5" thickBot="1">
      <c r="E27">
        <v>2010</v>
      </c>
      <c r="F27">
        <v>2011</v>
      </c>
      <c r="G27">
        <v>2012</v>
      </c>
      <c r="H27" t="s">
        <v>39</v>
      </c>
      <c r="AZ27" s="273" t="s">
        <v>40</v>
      </c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5" t="s">
        <v>41</v>
      </c>
      <c r="BZ27" s="276"/>
      <c r="CA27" s="44"/>
      <c r="CB27" s="44"/>
      <c r="CC27" s="45">
        <f>SUM(BC29:BX29)</f>
        <v>261.2</v>
      </c>
      <c r="CD27" s="46">
        <v>0.8</v>
      </c>
      <c r="CE27" s="47">
        <f>PERCENTILE($CE$1:$CE21,0.8)</f>
        <v>1080</v>
      </c>
    </row>
    <row r="28" spans="4:83" ht="16.5" thickBot="1">
      <c r="D28" t="s">
        <v>42</v>
      </c>
      <c r="E28">
        <f>COUNTIF(E3:E21,"P")</f>
        <v>15</v>
      </c>
      <c r="F28">
        <f>COUNTIF(U3:U21,"P")</f>
        <v>16</v>
      </c>
      <c r="G28">
        <f>COUNTIF(AK3:AK21,"P")</f>
        <v>16</v>
      </c>
      <c r="H28">
        <f>AVERAGE(E28:G28)</f>
        <v>15.666666666666666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1" t="s">
        <v>43</v>
      </c>
      <c r="BA28" s="40"/>
      <c r="BB28" s="48"/>
      <c r="BC28" s="49">
        <f>SUM(BC3:BC21)</f>
        <v>21</v>
      </c>
      <c r="BD28" s="49">
        <f>SUM(BD3:BD21)</f>
        <v>33</v>
      </c>
      <c r="BE28" s="49"/>
      <c r="BF28" s="49">
        <f>SUM(BF3:BF21)</f>
        <v>86</v>
      </c>
      <c r="BG28" s="49"/>
      <c r="BH28" s="49">
        <f>SUM(BH3:BH21)</f>
        <v>63</v>
      </c>
      <c r="BI28" s="49"/>
      <c r="BJ28" s="49">
        <f>SUM(BJ3:BJ21)</f>
        <v>17</v>
      </c>
      <c r="BK28" s="49">
        <f>SUM(BK3:BK21)</f>
        <v>46</v>
      </c>
      <c r="BL28" s="49">
        <f>SUM(BL3:BL21)</f>
        <v>6</v>
      </c>
      <c r="BM28" s="49">
        <f>SUM(BM3:BM21)</f>
        <v>0</v>
      </c>
      <c r="BN28" s="49">
        <f>SUM(BN3:BN21)</f>
        <v>3</v>
      </c>
      <c r="BO28" s="49"/>
      <c r="BP28" s="49">
        <f>SUM(BP3:BP21)</f>
        <v>0</v>
      </c>
      <c r="BQ28" s="49">
        <f>SUM(BQ3:BQ21)</f>
        <v>5</v>
      </c>
      <c r="BR28" s="49">
        <f>SUM(BR3:BR21)</f>
        <v>5</v>
      </c>
      <c r="BS28" s="49">
        <f>SUM(BS3:BS21)</f>
        <v>0</v>
      </c>
      <c r="BT28" s="49">
        <f>SUM(BT3:BT21)</f>
        <v>1</v>
      </c>
      <c r="BU28" s="49"/>
      <c r="BV28" s="49">
        <f>SUM(BV3:BV21)</f>
        <v>5.1</v>
      </c>
      <c r="BW28" s="49">
        <f>SUM(BW3:BW21)</f>
        <v>31.099999999999998</v>
      </c>
      <c r="BX28" s="49">
        <f>SUM(BX3:BX21)</f>
        <v>26.1</v>
      </c>
      <c r="BY28" s="298" t="s">
        <v>25</v>
      </c>
      <c r="BZ28" s="299"/>
      <c r="CA28" s="47"/>
      <c r="CB28" s="47"/>
      <c r="CC28" s="50">
        <f>SUM(BC29:BL29)</f>
        <v>223</v>
      </c>
      <c r="CD28" s="46">
        <v>0.75</v>
      </c>
      <c r="CE28" s="47">
        <f>PERCENTILE($CE$1:$CE22,0.75)</f>
        <v>937.5</v>
      </c>
    </row>
    <row r="29" spans="4:83" ht="16.5" thickBot="1">
      <c r="D29" t="s">
        <v>44</v>
      </c>
      <c r="E29">
        <f>COUNTIF(E3:E21,"C")</f>
        <v>3</v>
      </c>
      <c r="F29">
        <f>COUNTIF(U3:U21,"C")</f>
        <v>3</v>
      </c>
      <c r="G29">
        <f>COUNTIF(AK3:AK21,"C")</f>
        <v>3</v>
      </c>
      <c r="H29">
        <f>AVERAGE(E29:G29)</f>
        <v>3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1" t="s">
        <v>45</v>
      </c>
      <c r="BA29" s="40"/>
      <c r="BB29" s="48"/>
      <c r="BC29" s="40">
        <f>BC28-BC23</f>
        <v>21</v>
      </c>
      <c r="BD29" s="40">
        <f aca="true" t="shared" si="54" ref="BD29:BX29">BD28-BD23</f>
        <v>26</v>
      </c>
      <c r="BE29" s="40"/>
      <c r="BF29" s="40">
        <f t="shared" si="54"/>
        <v>71</v>
      </c>
      <c r="BG29" s="40"/>
      <c r="BH29" s="40">
        <f t="shared" si="54"/>
        <v>43</v>
      </c>
      <c r="BI29" s="40"/>
      <c r="BJ29" s="40">
        <f t="shared" si="54"/>
        <v>15</v>
      </c>
      <c r="BK29" s="40">
        <f t="shared" si="54"/>
        <v>43</v>
      </c>
      <c r="BL29" s="40">
        <f t="shared" si="54"/>
        <v>4</v>
      </c>
      <c r="BM29" s="40">
        <f t="shared" si="54"/>
        <v>0</v>
      </c>
      <c r="BN29" s="40">
        <f t="shared" si="54"/>
        <v>2</v>
      </c>
      <c r="BO29" s="40"/>
      <c r="BP29" s="40">
        <f t="shared" si="54"/>
        <v>0</v>
      </c>
      <c r="BQ29" s="40"/>
      <c r="BR29" s="40">
        <f t="shared" si="54"/>
        <v>5</v>
      </c>
      <c r="BS29" s="40">
        <f t="shared" si="54"/>
        <v>0</v>
      </c>
      <c r="BT29" s="40">
        <f t="shared" si="54"/>
        <v>1</v>
      </c>
      <c r="BU29" s="40"/>
      <c r="BV29" s="40">
        <f t="shared" si="54"/>
        <v>5.1</v>
      </c>
      <c r="BW29" s="40"/>
      <c r="BX29" s="40">
        <f t="shared" si="54"/>
        <v>25.1</v>
      </c>
      <c r="BY29" s="298" t="s">
        <v>46</v>
      </c>
      <c r="BZ29" s="299"/>
      <c r="CA29" s="47"/>
      <c r="CB29" s="47"/>
      <c r="CC29" s="50">
        <f>SUM(BM29:BR29)</f>
        <v>7</v>
      </c>
      <c r="CD29" s="46">
        <v>0.7</v>
      </c>
      <c r="CE29" s="47">
        <f>PERCENTILE($CE$1:$CE21,0.7)</f>
        <v>840</v>
      </c>
    </row>
    <row r="30" spans="4:83" ht="16.5" thickBot="1">
      <c r="D30" t="s">
        <v>47</v>
      </c>
      <c r="E30">
        <f>COUNTIF(E3:E21,"V")</f>
        <v>0</v>
      </c>
      <c r="F30">
        <f>COUNTIF(U3:U21,"V")</f>
        <v>0</v>
      </c>
      <c r="G30">
        <f>COUNTIF(AK3:AK21,"V")</f>
        <v>0</v>
      </c>
      <c r="H30">
        <f>AVERAGE(E30:G30)</f>
        <v>0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1" t="s">
        <v>48</v>
      </c>
      <c r="BA30" s="40"/>
      <c r="BB30" s="48"/>
      <c r="BC30" s="48">
        <f>BC29*100</f>
        <v>2100</v>
      </c>
      <c r="BD30" s="6">
        <f>BD29*80</f>
        <v>2080</v>
      </c>
      <c r="BE30" s="6"/>
      <c r="BF30" s="6">
        <f>BF29*60</f>
        <v>4260</v>
      </c>
      <c r="BG30" s="6"/>
      <c r="BH30" s="6">
        <f>BH29*40</f>
        <v>1720</v>
      </c>
      <c r="BI30" s="6"/>
      <c r="BJ30" s="6">
        <f>BJ29*20</f>
        <v>300</v>
      </c>
      <c r="BK30" s="6">
        <f>BK29*10</f>
        <v>430</v>
      </c>
      <c r="BL30" s="6">
        <f>BL29*5</f>
        <v>20</v>
      </c>
      <c r="BM30" s="6">
        <f>BM29*200</f>
        <v>0</v>
      </c>
      <c r="BN30" s="6">
        <f>BN29*100</f>
        <v>200</v>
      </c>
      <c r="BO30" s="6"/>
      <c r="BP30" s="6">
        <f>BP29*50</f>
        <v>0</v>
      </c>
      <c r="BQ30" s="6"/>
      <c r="BR30" s="6">
        <f>BR29*25</f>
        <v>125</v>
      </c>
      <c r="BS30" s="6">
        <f>BS29*100</f>
        <v>0</v>
      </c>
      <c r="BT30" s="6">
        <f>BT29*50</f>
        <v>50</v>
      </c>
      <c r="BU30" s="6"/>
      <c r="BV30" s="6">
        <f>BV29*25</f>
        <v>127.49999999999999</v>
      </c>
      <c r="BW30" s="6"/>
      <c r="BX30" s="1">
        <f>BX29*10</f>
        <v>251</v>
      </c>
      <c r="BY30" s="300" t="s">
        <v>49</v>
      </c>
      <c r="BZ30" s="301"/>
      <c r="CA30" s="51"/>
      <c r="CB30" s="51"/>
      <c r="CC30" s="52">
        <f>SUM(BS29:BX29)</f>
        <v>31.200000000000003</v>
      </c>
      <c r="CD30" s="46">
        <v>0.6</v>
      </c>
      <c r="CE30" s="47">
        <f>PERCENTILE($CE$1:$CE21,0.6)</f>
        <v>665</v>
      </c>
    </row>
    <row r="31" spans="4:83" ht="16.5" thickBot="1">
      <c r="D31" t="s">
        <v>30</v>
      </c>
      <c r="E31">
        <f>SUM(E28:E30)</f>
        <v>18</v>
      </c>
      <c r="F31">
        <f>SUM(F28:F30)</f>
        <v>19</v>
      </c>
      <c r="H31">
        <f>AVERAGE(E31:G31)</f>
        <v>18.5</v>
      </c>
      <c r="AZ31" s="53" t="s">
        <v>50</v>
      </c>
      <c r="BA31" s="124"/>
      <c r="BB31" s="54"/>
      <c r="BC31" s="48">
        <f>SUM(BC30:BX30)</f>
        <v>11663.5</v>
      </c>
      <c r="BD31" s="55">
        <f>BC31/BB23</f>
        <v>744.4787234042553</v>
      </c>
      <c r="BE31" s="56"/>
      <c r="BY31" s="293" t="s">
        <v>48</v>
      </c>
      <c r="BZ31" s="57" t="s">
        <v>51</v>
      </c>
      <c r="CA31" s="44"/>
      <c r="CB31" s="44"/>
      <c r="CC31" s="58">
        <f>AVERAGE(CE3:CE21)</f>
        <v>836.15625</v>
      </c>
      <c r="CD31" s="46">
        <v>0.5</v>
      </c>
      <c r="CE31" s="47">
        <f>PERCENTILE($CE$1:$CE21,0.5)</f>
        <v>620</v>
      </c>
    </row>
    <row r="32" spans="52:83" ht="16.5" thickBot="1">
      <c r="AZ32" s="7"/>
      <c r="BA32" s="8"/>
      <c r="BB32" s="9"/>
      <c r="BC32" s="6">
        <f>(SUM($BB$3:$BB$21))*($CG$2/3)</f>
        <v>3446.6666666666665</v>
      </c>
      <c r="BD32" s="296" t="str">
        <f>IF(BC31&gt;BC32,"ATINGE CONCEITO 3","NAO")</f>
        <v>ATINGE CONCEITO 3</v>
      </c>
      <c r="BE32" s="297"/>
      <c r="BF32" s="297"/>
      <c r="BG32" s="297"/>
      <c r="BH32" s="297"/>
      <c r="BI32" s="297"/>
      <c r="BJ32" s="297"/>
      <c r="BY32" s="294"/>
      <c r="BZ32" s="60" t="s">
        <v>52</v>
      </c>
      <c r="CA32" s="47"/>
      <c r="CB32" s="47"/>
      <c r="CC32" s="50">
        <f>QUARTILE(CE3:CE21,1)</f>
        <v>477.5</v>
      </c>
      <c r="CD32" s="46">
        <v>0.4</v>
      </c>
      <c r="CE32" s="47">
        <f>PERCENTILE($CE$1:$CE21,0.4)</f>
        <v>533.5</v>
      </c>
    </row>
    <row r="33" spans="52:83" ht="16.5" thickBot="1">
      <c r="AZ33" s="61" t="s">
        <v>53</v>
      </c>
      <c r="BA33" s="43"/>
      <c r="BB33" s="62"/>
      <c r="BC33" s="6">
        <f>(SUM($BB$3:$BB$21))*($CI$2/3)</f>
        <v>4386.666666666666</v>
      </c>
      <c r="BD33" s="296" t="str">
        <f>IF(BC31&gt;=BC33,"ATINGE CONCEITO 4","NAO")</f>
        <v>ATINGE CONCEITO 4</v>
      </c>
      <c r="BE33" s="297"/>
      <c r="BF33" s="297"/>
      <c r="BG33" s="297"/>
      <c r="BH33" s="297"/>
      <c r="BI33" s="297"/>
      <c r="BJ33" s="297"/>
      <c r="BY33" s="294"/>
      <c r="BZ33" s="60" t="s">
        <v>54</v>
      </c>
      <c r="CA33" s="47"/>
      <c r="CB33" s="47"/>
      <c r="CC33" s="63">
        <f>MEDIAN(CE3:CE21)</f>
        <v>620</v>
      </c>
      <c r="CD33" s="46">
        <v>0.35</v>
      </c>
      <c r="CE33" s="47">
        <f>PERCENTILE($CE$1:$CE20,0.35)</f>
        <v>498</v>
      </c>
    </row>
    <row r="34" spans="52:83" ht="16.5" thickBot="1">
      <c r="AZ34" s="53"/>
      <c r="BA34" s="124"/>
      <c r="BB34" s="54"/>
      <c r="BC34" s="6">
        <f>(SUM($BB$3:$BB$21))*($CK$2/3)</f>
        <v>6266.666666666667</v>
      </c>
      <c r="BD34" s="296" t="str">
        <f>IF(BC31&gt;=BC34,"ATINGE CONCEITO 5","NAO")</f>
        <v>ATINGE CONCEITO 5</v>
      </c>
      <c r="BE34" s="297"/>
      <c r="BF34" s="297"/>
      <c r="BG34" s="297"/>
      <c r="BH34" s="297"/>
      <c r="BI34" s="297"/>
      <c r="BJ34" s="297"/>
      <c r="BY34" s="294"/>
      <c r="BZ34" s="60" t="s">
        <v>55</v>
      </c>
      <c r="CA34" s="47"/>
      <c r="CB34" s="47"/>
      <c r="CC34" s="50">
        <f>QUARTILE(CE3:CE21,3)</f>
        <v>937.5</v>
      </c>
      <c r="CD34" s="46">
        <v>0.3</v>
      </c>
      <c r="CE34" s="47">
        <f>PERCENTILE($CE$1:$CE21,0.3)</f>
        <v>490</v>
      </c>
    </row>
    <row r="35" spans="77:81" ht="16.5" thickBot="1">
      <c r="BY35" s="295"/>
      <c r="BZ35" s="64" t="s">
        <v>56</v>
      </c>
      <c r="CA35" s="51"/>
      <c r="CB35" s="51"/>
      <c r="CC35" s="52">
        <f>QUARTILE(CE3:CE21,4)</f>
        <v>3050</v>
      </c>
    </row>
    <row r="36" ht="16.5" thickBot="1"/>
    <row r="37" spans="52:76" ht="16.5" thickBot="1">
      <c r="AZ37" s="273" t="s">
        <v>57</v>
      </c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81"/>
    </row>
    <row r="38" spans="52:76" ht="16.5" thickBot="1">
      <c r="AZ38" s="65"/>
      <c r="BA38" s="125"/>
      <c r="BB38" s="48"/>
      <c r="BC38" s="1" t="s">
        <v>58</v>
      </c>
      <c r="BD38" s="40"/>
      <c r="BE38" s="40"/>
      <c r="BF38" s="40" t="s">
        <v>59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8"/>
    </row>
    <row r="39" spans="52:76" ht="16.5" thickBot="1">
      <c r="AZ39" s="1" t="s">
        <v>60</v>
      </c>
      <c r="BA39" s="40"/>
      <c r="BB39" s="48"/>
      <c r="BC39" s="291">
        <f>BB23-COUNTIF(CG3:CG21,"=NAO")</f>
        <v>15.666666666666666</v>
      </c>
      <c r="BD39" s="292"/>
      <c r="BE39" s="66"/>
      <c r="BF39" s="291">
        <f>(BC39/H28)*100</f>
        <v>100</v>
      </c>
      <c r="BG39" s="302"/>
      <c r="BH39" s="292"/>
      <c r="BI39" s="67"/>
      <c r="BJ39" s="40" t="str">
        <f>IF(BF39&gt;=80,"ATINGEM CONCEITO 3","NAO")</f>
        <v>ATINGEM CONCEITO 3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8"/>
    </row>
    <row r="40" spans="52:76" ht="16.5" thickBot="1">
      <c r="AZ40" s="1" t="s">
        <v>61</v>
      </c>
      <c r="BA40" s="40"/>
      <c r="BB40" s="48"/>
      <c r="BC40" s="291">
        <f>BB23-COUNTIF(CI3:CI21,"=NAO")</f>
        <v>15.666666666666666</v>
      </c>
      <c r="BD40" s="292"/>
      <c r="BE40" s="66"/>
      <c r="BF40" s="291">
        <f>(BC40/H28)*100</f>
        <v>100</v>
      </c>
      <c r="BG40" s="302"/>
      <c r="BH40" s="292"/>
      <c r="BI40" s="67"/>
      <c r="BJ40" s="40" t="str">
        <f>IF(BF40&gt;=80," ATINGEM CONCEITO 4","NAO")</f>
        <v> ATINGEM CONCEITO 4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8"/>
    </row>
    <row r="41" spans="52:76" ht="16.5" thickBot="1">
      <c r="AZ41" s="306" t="s">
        <v>62</v>
      </c>
      <c r="BA41" s="307"/>
      <c r="BB41" s="308"/>
      <c r="BC41" s="291">
        <f>BB23-COUNTIF(CK3:CK21,"=NAO")</f>
        <v>13.666666666666666</v>
      </c>
      <c r="BD41" s="292"/>
      <c r="BE41" s="66"/>
      <c r="BF41" s="291">
        <f>(BC41/H28)*100</f>
        <v>87.2340425531915</v>
      </c>
      <c r="BG41" s="302"/>
      <c r="BH41" s="292"/>
      <c r="BI41" s="67"/>
      <c r="BJ41" s="40" t="str">
        <f>IF(BF41&gt;=80,"ATINGEM CONCEITO 5","NAO")</f>
        <v>ATINGEM CONCEITO 5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8"/>
    </row>
    <row r="43" ht="16.5" thickBot="1"/>
    <row r="44" spans="52:76" ht="16.5" thickBot="1">
      <c r="AZ44" s="303" t="s">
        <v>63</v>
      </c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5"/>
    </row>
    <row r="45" spans="52:76" ht="16.5" thickBot="1">
      <c r="AZ45" t="s">
        <v>39</v>
      </c>
      <c r="BB45">
        <f>BB23</f>
        <v>15.666666666666666</v>
      </c>
      <c r="BC45" s="68" t="s">
        <v>4</v>
      </c>
      <c r="BD45" s="69" t="s">
        <v>5</v>
      </c>
      <c r="BE45" s="69"/>
      <c r="BF45" s="69" t="s">
        <v>6</v>
      </c>
      <c r="BG45" s="69"/>
      <c r="BH45" s="69" t="s">
        <v>7</v>
      </c>
      <c r="BI45" s="69"/>
      <c r="BJ45" s="69" t="s">
        <v>8</v>
      </c>
      <c r="BK45" s="69" t="s">
        <v>9</v>
      </c>
      <c r="BL45" s="69" t="s">
        <v>10</v>
      </c>
      <c r="BM45" s="69" t="s">
        <v>11</v>
      </c>
      <c r="BN45" s="69" t="s">
        <v>12</v>
      </c>
      <c r="BO45" s="69"/>
      <c r="BP45" s="69" t="s">
        <v>13</v>
      </c>
      <c r="BQ45" s="69"/>
      <c r="BR45" s="69" t="s">
        <v>23</v>
      </c>
      <c r="BS45" s="69" t="s">
        <v>15</v>
      </c>
      <c r="BT45" s="69" t="s">
        <v>16</v>
      </c>
      <c r="BU45" s="69"/>
      <c r="BV45" s="69" t="s">
        <v>17</v>
      </c>
      <c r="BW45" s="69"/>
      <c r="BX45" s="70" t="s">
        <v>18</v>
      </c>
    </row>
    <row r="46" spans="52:76" ht="15.75">
      <c r="AZ46" t="s">
        <v>64</v>
      </c>
      <c r="BC46">
        <f>COUNTIF(BC3:BC21,"&gt;0")</f>
        <v>7</v>
      </c>
      <c r="BD46">
        <f>COUNTIF(BD3:BD21,"&gt;0")</f>
        <v>14</v>
      </c>
      <c r="BF46">
        <f>COUNTIF(BF3:BF21,"&gt;0")</f>
        <v>17</v>
      </c>
      <c r="BH46">
        <f>COUNTIF(BH3:BH21,"&gt;0")</f>
        <v>18</v>
      </c>
      <c r="BJ46">
        <f aca="true" t="shared" si="55" ref="BJ46:BX46">COUNTIF(BJ3:BJ21,"&gt;0")</f>
        <v>8</v>
      </c>
      <c r="BK46">
        <f t="shared" si="55"/>
        <v>13</v>
      </c>
      <c r="BL46">
        <f t="shared" si="55"/>
        <v>4</v>
      </c>
      <c r="BM46">
        <f t="shared" si="55"/>
        <v>0</v>
      </c>
      <c r="BN46">
        <f t="shared" si="55"/>
        <v>3</v>
      </c>
      <c r="BO46">
        <f t="shared" si="55"/>
        <v>3</v>
      </c>
      <c r="BP46">
        <f t="shared" si="55"/>
        <v>0</v>
      </c>
      <c r="BQ46">
        <f t="shared" si="55"/>
        <v>2</v>
      </c>
      <c r="BR46">
        <f t="shared" si="55"/>
        <v>2</v>
      </c>
      <c r="BS46">
        <f t="shared" si="55"/>
        <v>0</v>
      </c>
      <c r="BT46">
        <f t="shared" si="55"/>
        <v>1</v>
      </c>
      <c r="BU46">
        <f t="shared" si="55"/>
        <v>1</v>
      </c>
      <c r="BV46">
        <f t="shared" si="55"/>
        <v>2</v>
      </c>
      <c r="BW46">
        <f t="shared" si="55"/>
        <v>12</v>
      </c>
      <c r="BX46">
        <f t="shared" si="55"/>
        <v>12</v>
      </c>
    </row>
    <row r="47" spans="52:76" ht="15.75">
      <c r="AZ47" t="s">
        <v>65</v>
      </c>
      <c r="BC47" s="71">
        <f>BC46/$BB$45*100</f>
        <v>44.68085106382979</v>
      </c>
      <c r="BD47" s="71">
        <f aca="true" t="shared" si="56" ref="BD47:BX47">BD46/$BB$45*100</f>
        <v>89.36170212765958</v>
      </c>
      <c r="BE47" s="71"/>
      <c r="BF47" s="71">
        <f t="shared" si="56"/>
        <v>108.51063829787235</v>
      </c>
      <c r="BG47" s="71"/>
      <c r="BH47" s="71">
        <f t="shared" si="56"/>
        <v>114.89361702127661</v>
      </c>
      <c r="BI47" s="71"/>
      <c r="BJ47" s="71">
        <f t="shared" si="56"/>
        <v>51.06382978723405</v>
      </c>
      <c r="BK47" s="71">
        <f t="shared" si="56"/>
        <v>82.97872340425532</v>
      </c>
      <c r="BL47" s="71">
        <f t="shared" si="56"/>
        <v>25.531914893617024</v>
      </c>
      <c r="BM47" s="71">
        <f t="shared" si="56"/>
        <v>0</v>
      </c>
      <c r="BN47" s="71">
        <f t="shared" si="56"/>
        <v>19.148936170212767</v>
      </c>
      <c r="BO47" s="71">
        <f t="shared" si="56"/>
        <v>19.148936170212767</v>
      </c>
      <c r="BP47" s="71">
        <f t="shared" si="56"/>
        <v>0</v>
      </c>
      <c r="BQ47" s="71">
        <f t="shared" si="56"/>
        <v>12.765957446808512</v>
      </c>
      <c r="BR47" s="71">
        <f t="shared" si="56"/>
        <v>12.765957446808512</v>
      </c>
      <c r="BS47" s="71">
        <f t="shared" si="56"/>
        <v>0</v>
      </c>
      <c r="BT47" s="71">
        <f t="shared" si="56"/>
        <v>6.382978723404256</v>
      </c>
      <c r="BU47" s="71">
        <f t="shared" si="56"/>
        <v>6.382978723404256</v>
      </c>
      <c r="BV47" s="71">
        <f t="shared" si="56"/>
        <v>12.765957446808512</v>
      </c>
      <c r="BW47" s="71">
        <f t="shared" si="56"/>
        <v>76.59574468085107</v>
      </c>
      <c r="BX47" s="71">
        <f t="shared" si="56"/>
        <v>76.59574468085107</v>
      </c>
    </row>
    <row r="49" spans="55:73" ht="16.5" thickBot="1">
      <c r="BC49" t="s">
        <v>25</v>
      </c>
      <c r="BM49" t="s">
        <v>46</v>
      </c>
      <c r="BS49" t="s">
        <v>49</v>
      </c>
      <c r="BU49" s="74"/>
    </row>
    <row r="50" spans="51:72" ht="16.5" thickBot="1">
      <c r="AY50" t="s">
        <v>84</v>
      </c>
      <c r="AZ50" t="s">
        <v>19</v>
      </c>
      <c r="BC50" s="72">
        <f>COUNTIF(BE3:BE21,"&gt;0")/$BB$45*100</f>
        <v>89.36170212765958</v>
      </c>
      <c r="BD50" s="73"/>
      <c r="BE50" s="74"/>
      <c r="BL50" t="s">
        <v>22</v>
      </c>
      <c r="BM50" s="72">
        <f>COUNTIF(BO3:BO21,"&gt;0")/$BB$45*100</f>
        <v>19.148936170212767</v>
      </c>
      <c r="BN50" s="73"/>
      <c r="BO50" s="74"/>
      <c r="BR50" t="s">
        <v>24</v>
      </c>
      <c r="BS50" s="72">
        <f>COUNTIF(BU3:BU21,"&gt;0")/$BB$45*100</f>
        <v>6.382978723404256</v>
      </c>
      <c r="BT50" s="73"/>
    </row>
    <row r="51" spans="52:59" ht="16.5" thickBot="1">
      <c r="AZ51" t="s">
        <v>20</v>
      </c>
      <c r="BC51" s="75">
        <f>COUNTIF(BG3:BG113,"&gt;0")/$BB$45*100</f>
        <v>121.27659574468086</v>
      </c>
      <c r="BD51" s="76"/>
      <c r="BE51" s="76"/>
      <c r="BF51" s="77"/>
      <c r="BG51" s="74"/>
    </row>
    <row r="52" spans="52:61" ht="16.5" thickBot="1">
      <c r="AZ52" t="s">
        <v>66</v>
      </c>
      <c r="BC52" s="72">
        <f>COUNTIF(BI3:BI21,"&gt;0")/$BB$45*100</f>
        <v>121.27659574468086</v>
      </c>
      <c r="BD52" s="78"/>
      <c r="BE52" s="78"/>
      <c r="BF52" s="78"/>
      <c r="BG52" s="78"/>
      <c r="BH52" s="73"/>
      <c r="BI52" s="43"/>
    </row>
    <row r="53" ht="16.5" thickBot="1"/>
    <row r="54" spans="51:56" ht="16.5" thickBot="1">
      <c r="AY54" t="s">
        <v>67</v>
      </c>
      <c r="AZ54" t="s">
        <v>19</v>
      </c>
      <c r="BC54" s="72">
        <f>COUNTIF(BE3:BE21,"&gt;1")/$BB$45*100</f>
        <v>89.36170212765958</v>
      </c>
      <c r="BD54" s="73"/>
    </row>
    <row r="55" ht="15.75">
      <c r="AZ55" t="s">
        <v>20</v>
      </c>
    </row>
    <row r="56" ht="15.75">
      <c r="AZ56" t="s">
        <v>66</v>
      </c>
    </row>
  </sheetData>
  <sheetProtection/>
  <mergeCells count="25">
    <mergeCell ref="BY28:BZ28"/>
    <mergeCell ref="BY29:BZ29"/>
    <mergeCell ref="BY30:BZ30"/>
    <mergeCell ref="BF40:BH40"/>
    <mergeCell ref="AZ44:BX44"/>
    <mergeCell ref="AZ41:BB41"/>
    <mergeCell ref="BC41:BD41"/>
    <mergeCell ref="BF41:BH41"/>
    <mergeCell ref="BC39:BD39"/>
    <mergeCell ref="BF39:BH39"/>
    <mergeCell ref="BC40:BD40"/>
    <mergeCell ref="BY31:BY35"/>
    <mergeCell ref="BD32:BJ32"/>
    <mergeCell ref="BD33:BJ33"/>
    <mergeCell ref="BD34:BJ34"/>
    <mergeCell ref="AZ37:BX37"/>
    <mergeCell ref="AZ27:BX27"/>
    <mergeCell ref="BY27:BZ27"/>
    <mergeCell ref="CD26:CE26"/>
    <mergeCell ref="F1:T1"/>
    <mergeCell ref="V1:AJ1"/>
    <mergeCell ref="AL1:AZ1"/>
    <mergeCell ref="BC1:BX1"/>
    <mergeCell ref="BY26:CC26"/>
    <mergeCell ref="BA1:BA21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5"/>
  <sheetViews>
    <sheetView zoomScale="90" zoomScaleNormal="90" zoomScalePageLayoutView="150" workbookViewId="0" topLeftCell="E1">
      <pane xSplit="2" ySplit="4" topLeftCell="K5" activePane="bottomRight" state="frozen"/>
      <selection pane="topLeft" activeCell="E1" sqref="E1"/>
      <selection pane="topRight" activeCell="G1" sqref="G1"/>
      <selection pane="bottomLeft" activeCell="E5" sqref="E5"/>
      <selection pane="bottomRight" activeCell="AX23" sqref="AX23"/>
    </sheetView>
  </sheetViews>
  <sheetFormatPr defaultColWidth="11.00390625" defaultRowHeight="15.75"/>
  <cols>
    <col min="1" max="1" width="7.625" style="0" customWidth="1"/>
    <col min="2" max="2" width="9.875" style="0" customWidth="1"/>
    <col min="3" max="3" width="5.875" style="0" customWidth="1"/>
    <col min="4" max="4" width="3.375" style="0" customWidth="1"/>
    <col min="5" max="5" width="19.50390625" style="0" customWidth="1"/>
    <col min="6" max="6" width="6.50390625" style="0" customWidth="1"/>
    <col min="7" max="7" width="4.375" style="0" bestFit="1" customWidth="1"/>
    <col min="8" max="8" width="4.875" style="0" customWidth="1"/>
    <col min="9" max="9" width="5.875" style="0" bestFit="1" customWidth="1"/>
    <col min="10" max="10" width="9.125" style="0" bestFit="1" customWidth="1"/>
    <col min="11" max="11" width="8.375" style="0" bestFit="1" customWidth="1"/>
    <col min="12" max="12" width="5.125" style="0" bestFit="1" customWidth="1"/>
    <col min="13" max="13" width="8.625" style="0" bestFit="1" customWidth="1"/>
    <col min="14" max="14" width="7.875" style="0" bestFit="1" customWidth="1"/>
    <col min="15" max="15" width="8.50390625" style="0" customWidth="1"/>
    <col min="16" max="16" width="7.875" style="0" customWidth="1"/>
    <col min="17" max="17" width="10.375" style="0" bestFit="1" customWidth="1"/>
    <col min="18" max="18" width="8.875" style="0" customWidth="1"/>
    <col min="19" max="19" width="6.625" style="0" bestFit="1" customWidth="1"/>
    <col min="20" max="20" width="9.375" style="0" customWidth="1"/>
    <col min="21" max="21" width="11.375" style="0" customWidth="1"/>
    <col min="22" max="22" width="7.375" style="0" bestFit="1" customWidth="1"/>
    <col min="23" max="23" width="5.875" style="0" bestFit="1" customWidth="1"/>
    <col min="24" max="24" width="6.00390625" style="0" bestFit="1" customWidth="1"/>
    <col min="25" max="25" width="8.875" style="0" bestFit="1" customWidth="1"/>
    <col min="26" max="26" width="5.125" style="0" bestFit="1" customWidth="1"/>
    <col min="27" max="27" width="5.00390625" style="0" customWidth="1"/>
    <col min="28" max="28" width="3.625" style="0" customWidth="1"/>
    <col min="29" max="29" width="5.875" style="0" bestFit="1" customWidth="1"/>
    <col min="30" max="30" width="9.125" style="0" bestFit="1" customWidth="1"/>
    <col min="31" max="31" width="8.375" style="0" bestFit="1" customWidth="1"/>
    <col min="32" max="32" width="5.125" style="0" bestFit="1" customWidth="1"/>
    <col min="33" max="33" width="8.625" style="0" bestFit="1" customWidth="1"/>
    <col min="34" max="34" width="7.875" style="0" bestFit="1" customWidth="1"/>
    <col min="35" max="36" width="7.875" style="0" customWidth="1"/>
    <col min="37" max="37" width="10.375" style="0" bestFit="1" customWidth="1"/>
    <col min="38" max="38" width="8.875" style="0" bestFit="1" customWidth="1"/>
    <col min="39" max="39" width="6.625" style="0" bestFit="1" customWidth="1"/>
    <col min="40" max="40" width="8.50390625" style="0" bestFit="1" customWidth="1"/>
    <col min="41" max="41" width="12.125" style="0" customWidth="1"/>
    <col min="42" max="42" width="7.375" style="0" bestFit="1" customWidth="1"/>
    <col min="43" max="43" width="5.875" style="0" bestFit="1" customWidth="1"/>
    <col min="44" max="44" width="6.00390625" style="0" bestFit="1" customWidth="1"/>
    <col min="45" max="45" width="8.875" style="0" bestFit="1" customWidth="1"/>
    <col min="46" max="46" width="5.125" style="0" bestFit="1" customWidth="1"/>
    <col min="47" max="47" width="4.375" style="0" bestFit="1" customWidth="1"/>
    <col min="48" max="48" width="4.125" style="0" customWidth="1"/>
    <col min="49" max="49" width="5.875" style="0" bestFit="1" customWidth="1"/>
    <col min="50" max="50" width="9.125" style="0" bestFit="1" customWidth="1"/>
    <col min="51" max="51" width="8.375" style="0" bestFit="1" customWidth="1"/>
    <col min="52" max="52" width="5.125" style="0" bestFit="1" customWidth="1"/>
    <col min="53" max="53" width="8.625" style="0" bestFit="1" customWidth="1"/>
    <col min="54" max="54" width="7.875" style="0" bestFit="1" customWidth="1"/>
    <col min="55" max="56" width="7.875" style="0" customWidth="1"/>
    <col min="57" max="57" width="10.375" style="0" bestFit="1" customWidth="1"/>
    <col min="58" max="58" width="9.125" style="0" customWidth="1"/>
    <col min="59" max="59" width="6.625" style="0" bestFit="1" customWidth="1"/>
    <col min="60" max="60" width="8.50390625" style="0" bestFit="1" customWidth="1"/>
    <col min="61" max="61" width="11.375" style="0" customWidth="1"/>
    <col min="62" max="62" width="7.375" style="0" bestFit="1" customWidth="1"/>
    <col min="63" max="63" width="5.875" style="0" bestFit="1" customWidth="1"/>
    <col min="64" max="64" width="6.00390625" style="0" bestFit="1" customWidth="1"/>
    <col min="65" max="65" width="9.50390625" style="0" customWidth="1"/>
    <col min="66" max="66" width="6.375" style="0" customWidth="1"/>
    <col min="67" max="67" width="5.125" style="0" bestFit="1" customWidth="1"/>
    <col min="68" max="68" width="6.875" style="0" customWidth="1"/>
    <col min="69" max="69" width="6.125" style="0" customWidth="1"/>
    <col min="70" max="70" width="7.50390625" style="0" customWidth="1"/>
    <col min="71" max="72" width="9.625" style="0" customWidth="1"/>
    <col min="73" max="73" width="8.00390625" style="0" customWidth="1"/>
    <col min="74" max="74" width="8.625" style="0" customWidth="1"/>
    <col min="75" max="77" width="8.875" style="0" customWidth="1"/>
    <col min="78" max="78" width="10.375" style="0" customWidth="1"/>
    <col min="79" max="79" width="9.375" style="0" customWidth="1"/>
    <col min="80" max="80" width="7.00390625" style="0" customWidth="1"/>
    <col min="81" max="81" width="9.375" style="0" customWidth="1"/>
    <col min="82" max="82" width="11.00390625" style="0" customWidth="1"/>
    <col min="83" max="83" width="7.875" style="0" customWidth="1"/>
    <col min="84" max="84" width="5.875" style="0" bestFit="1" customWidth="1"/>
    <col min="85" max="85" width="6.00390625" style="0" bestFit="1" customWidth="1"/>
    <col min="86" max="86" width="8.875" style="0" customWidth="1"/>
    <col min="87" max="87" width="6.00390625" style="0" bestFit="1" customWidth="1"/>
    <col min="88" max="88" width="6.00390625" style="0" customWidth="1"/>
    <col min="89" max="90" width="4.50390625" style="0" customWidth="1"/>
    <col min="91" max="93" width="6.125" style="0" customWidth="1"/>
    <col min="94" max="94" width="6.00390625" style="0" bestFit="1" customWidth="1"/>
    <col min="95" max="97" width="6.00390625" style="0" customWidth="1"/>
    <col min="98" max="98" width="8.875" style="0" bestFit="1" customWidth="1"/>
    <col min="99" max="102" width="8.875" style="0" customWidth="1"/>
    <col min="103" max="103" width="3.125" style="0" customWidth="1"/>
    <col min="104" max="104" width="5.00390625" style="0" customWidth="1"/>
    <col min="105" max="105" width="4.375" style="0" customWidth="1"/>
    <col min="106" max="106" width="2.875" style="0" customWidth="1"/>
    <col min="107" max="107" width="6.00390625" style="0" bestFit="1" customWidth="1"/>
    <col min="108" max="108" width="4.875" style="0" customWidth="1"/>
    <col min="109" max="109" width="9.50390625" style="0" customWidth="1"/>
    <col min="110" max="110" width="7.625" style="0" bestFit="1" customWidth="1"/>
    <col min="111" max="111" width="7.875" style="0" customWidth="1"/>
    <col min="112" max="112" width="10.875" style="0" bestFit="1" customWidth="1"/>
    <col min="113" max="113" width="9.875" style="0" bestFit="1" customWidth="1"/>
    <col min="114" max="114" width="10.00390625" style="0" bestFit="1" customWidth="1"/>
    <col min="115" max="115" width="11.125" style="0" bestFit="1" customWidth="1"/>
    <col min="116" max="116" width="8.875" style="0" customWidth="1"/>
    <col min="117" max="117" width="12.50390625" style="0" customWidth="1"/>
    <col min="118" max="118" width="6.625" style="0" customWidth="1"/>
    <col min="119" max="119" width="5.375" style="0" customWidth="1"/>
    <col min="120" max="120" width="5.00390625" style="0" customWidth="1"/>
    <col min="121" max="121" width="6.00390625" style="0" customWidth="1"/>
    <col min="122" max="122" width="9.00390625" style="0" customWidth="1"/>
    <col min="123" max="123" width="9.50390625" style="0" customWidth="1"/>
    <col min="124" max="124" width="11.00390625" style="0" customWidth="1"/>
    <col min="125" max="125" width="9.625" style="0" customWidth="1"/>
    <col min="126" max="126" width="13.625" style="0" bestFit="1" customWidth="1"/>
    <col min="127" max="127" width="16.125" style="0" bestFit="1" customWidth="1"/>
    <col min="128" max="128" width="8.875" style="0" bestFit="1" customWidth="1"/>
    <col min="129" max="129" width="9.00390625" style="0" customWidth="1"/>
    <col min="130" max="130" width="8.00390625" style="0" customWidth="1"/>
    <col min="131" max="131" width="8.375" style="0" customWidth="1"/>
    <col min="132" max="132" width="11.125" style="0" customWidth="1"/>
    <col min="133" max="133" width="8.375" style="0" customWidth="1"/>
    <col min="134" max="134" width="8.50390625" style="0" customWidth="1"/>
    <col min="135" max="135" width="10.00390625" style="0" customWidth="1"/>
    <col min="136" max="136" width="8.125" style="0" customWidth="1"/>
    <col min="137" max="137" width="9.50390625" style="0" customWidth="1"/>
    <col min="138" max="138" width="8.625" style="0" customWidth="1"/>
  </cols>
  <sheetData>
    <row r="1" spans="6:67" ht="19.5" customHeight="1" thickBot="1">
      <c r="F1" s="1"/>
      <c r="G1" s="279">
        <v>2010</v>
      </c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"/>
      <c r="AA1" s="312">
        <v>2011</v>
      </c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U1" s="279">
        <v>2012</v>
      </c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318" t="s">
        <v>135</v>
      </c>
      <c r="BO1" s="59"/>
    </row>
    <row r="2" spans="6:102" ht="18.75" customHeight="1" thickBot="1">
      <c r="F2" s="314" t="s">
        <v>74</v>
      </c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66"/>
      <c r="AA2" s="311" t="s">
        <v>74</v>
      </c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U2" s="311" t="s">
        <v>74</v>
      </c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9"/>
      <c r="BO2" s="165"/>
      <c r="BP2" s="320" t="s">
        <v>74</v>
      </c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16" t="s">
        <v>86</v>
      </c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</row>
    <row r="3" spans="6:86" ht="16.5" thickBot="1">
      <c r="F3" s="1"/>
      <c r="G3" s="313" t="s">
        <v>71</v>
      </c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0"/>
      <c r="T3" s="313" t="s">
        <v>88</v>
      </c>
      <c r="U3" s="309"/>
      <c r="V3" s="310"/>
      <c r="W3" s="309" t="s">
        <v>134</v>
      </c>
      <c r="X3" s="309"/>
      <c r="Y3" s="310"/>
      <c r="Z3" s="66"/>
      <c r="AA3" s="313" t="s">
        <v>71</v>
      </c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10"/>
      <c r="AM3" s="90"/>
      <c r="AN3" s="313" t="s">
        <v>88</v>
      </c>
      <c r="AO3" s="309"/>
      <c r="AP3" s="310"/>
      <c r="AQ3" s="309" t="s">
        <v>134</v>
      </c>
      <c r="AR3" s="309"/>
      <c r="AS3" s="310"/>
      <c r="AU3" s="313" t="s">
        <v>71</v>
      </c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10"/>
      <c r="BG3" s="90"/>
      <c r="BH3" s="313" t="s">
        <v>88</v>
      </c>
      <c r="BI3" s="309"/>
      <c r="BJ3" s="310"/>
      <c r="BK3" s="309" t="s">
        <v>134</v>
      </c>
      <c r="BL3" s="309"/>
      <c r="BM3" s="310"/>
      <c r="BN3" s="319"/>
      <c r="BO3" s="59"/>
      <c r="BP3" s="313" t="s">
        <v>71</v>
      </c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10"/>
      <c r="CC3" s="313" t="s">
        <v>88</v>
      </c>
      <c r="CD3" s="309"/>
      <c r="CE3" s="310"/>
      <c r="CF3" s="309" t="s">
        <v>134</v>
      </c>
      <c r="CG3" s="309"/>
      <c r="CH3" s="310"/>
    </row>
    <row r="4" spans="1:102" ht="16.5" thickBot="1">
      <c r="A4" s="47" t="s">
        <v>194</v>
      </c>
      <c r="B4" s="47" t="s">
        <v>193</v>
      </c>
      <c r="C4" s="127" t="s">
        <v>127</v>
      </c>
      <c r="E4" s="104" t="s">
        <v>2</v>
      </c>
      <c r="F4" s="99" t="s">
        <v>3</v>
      </c>
      <c r="G4" s="100" t="s">
        <v>87</v>
      </c>
      <c r="H4" s="100" t="s">
        <v>69</v>
      </c>
      <c r="I4" s="100" t="s">
        <v>129</v>
      </c>
      <c r="J4" s="100" t="s">
        <v>91</v>
      </c>
      <c r="K4" s="100" t="s">
        <v>72</v>
      </c>
      <c r="L4" s="100" t="s">
        <v>131</v>
      </c>
      <c r="M4" s="100" t="s">
        <v>92</v>
      </c>
      <c r="N4" s="100" t="s">
        <v>73</v>
      </c>
      <c r="O4" s="100" t="s">
        <v>203</v>
      </c>
      <c r="P4" s="100" t="s">
        <v>204</v>
      </c>
      <c r="Q4" s="100" t="s">
        <v>93</v>
      </c>
      <c r="R4" s="100" t="s">
        <v>70</v>
      </c>
      <c r="S4" s="100" t="s">
        <v>133</v>
      </c>
      <c r="T4" s="100" t="s">
        <v>25</v>
      </c>
      <c r="U4" s="101" t="s">
        <v>126</v>
      </c>
      <c r="V4" s="100" t="s">
        <v>132</v>
      </c>
      <c r="W4" s="102" t="s">
        <v>129</v>
      </c>
      <c r="X4" s="102" t="s">
        <v>130</v>
      </c>
      <c r="Y4" s="102" t="s">
        <v>70</v>
      </c>
      <c r="Z4" s="103" t="s">
        <v>3</v>
      </c>
      <c r="AA4" s="100" t="s">
        <v>87</v>
      </c>
      <c r="AB4" s="100" t="s">
        <v>69</v>
      </c>
      <c r="AC4" s="100" t="s">
        <v>129</v>
      </c>
      <c r="AD4" s="100" t="s">
        <v>91</v>
      </c>
      <c r="AE4" s="100" t="s">
        <v>72</v>
      </c>
      <c r="AF4" s="100" t="s">
        <v>131</v>
      </c>
      <c r="AG4" s="100" t="s">
        <v>92</v>
      </c>
      <c r="AH4" s="100" t="s">
        <v>73</v>
      </c>
      <c r="AI4" s="100" t="s">
        <v>203</v>
      </c>
      <c r="AJ4" s="100" t="s">
        <v>204</v>
      </c>
      <c r="AK4" s="100" t="s">
        <v>93</v>
      </c>
      <c r="AL4" s="100" t="s">
        <v>70</v>
      </c>
      <c r="AM4" s="100" t="s">
        <v>133</v>
      </c>
      <c r="AN4" s="100" t="s">
        <v>25</v>
      </c>
      <c r="AO4" s="101" t="s">
        <v>126</v>
      </c>
      <c r="AP4" s="100" t="s">
        <v>132</v>
      </c>
      <c r="AQ4" s="102" t="s">
        <v>129</v>
      </c>
      <c r="AR4" s="102" t="s">
        <v>130</v>
      </c>
      <c r="AS4" s="102" t="s">
        <v>70</v>
      </c>
      <c r="AT4" s="99" t="s">
        <v>3</v>
      </c>
      <c r="AU4" s="100" t="s">
        <v>87</v>
      </c>
      <c r="AV4" s="100" t="s">
        <v>69</v>
      </c>
      <c r="AW4" s="100" t="s">
        <v>129</v>
      </c>
      <c r="AX4" s="100" t="s">
        <v>91</v>
      </c>
      <c r="AY4" s="100" t="s">
        <v>72</v>
      </c>
      <c r="AZ4" s="100" t="s">
        <v>131</v>
      </c>
      <c r="BA4" s="100" t="s">
        <v>92</v>
      </c>
      <c r="BB4" s="100" t="s">
        <v>73</v>
      </c>
      <c r="BC4" s="100" t="s">
        <v>203</v>
      </c>
      <c r="BD4" s="100" t="s">
        <v>204</v>
      </c>
      <c r="BE4" s="100" t="s">
        <v>93</v>
      </c>
      <c r="BF4" s="100" t="s">
        <v>70</v>
      </c>
      <c r="BG4" s="100" t="s">
        <v>133</v>
      </c>
      <c r="BH4" s="100" t="s">
        <v>25</v>
      </c>
      <c r="BI4" s="101" t="s">
        <v>126</v>
      </c>
      <c r="BJ4" s="100" t="s">
        <v>132</v>
      </c>
      <c r="BK4" s="102" t="s">
        <v>129</v>
      </c>
      <c r="BL4" s="102" t="s">
        <v>130</v>
      </c>
      <c r="BM4" s="102" t="s">
        <v>70</v>
      </c>
      <c r="BN4" s="319"/>
      <c r="BO4" s="104" t="s">
        <v>3</v>
      </c>
      <c r="BP4" s="100" t="s">
        <v>87</v>
      </c>
      <c r="BQ4" s="100" t="s">
        <v>69</v>
      </c>
      <c r="BR4" s="100" t="s">
        <v>129</v>
      </c>
      <c r="BS4" s="100" t="s">
        <v>91</v>
      </c>
      <c r="BT4" s="100" t="s">
        <v>72</v>
      </c>
      <c r="BU4" s="100" t="s">
        <v>131</v>
      </c>
      <c r="BV4" s="100" t="s">
        <v>92</v>
      </c>
      <c r="BW4" s="100" t="s">
        <v>73</v>
      </c>
      <c r="BX4" s="100" t="s">
        <v>203</v>
      </c>
      <c r="BY4" s="100" t="s">
        <v>204</v>
      </c>
      <c r="BZ4" s="100" t="s">
        <v>93</v>
      </c>
      <c r="CA4" s="100" t="s">
        <v>70</v>
      </c>
      <c r="CB4" s="100" t="s">
        <v>133</v>
      </c>
      <c r="CC4" s="100" t="s">
        <v>25</v>
      </c>
      <c r="CD4" s="101" t="s">
        <v>126</v>
      </c>
      <c r="CE4" s="100" t="s">
        <v>132</v>
      </c>
      <c r="CF4" s="102" t="s">
        <v>129</v>
      </c>
      <c r="CG4" s="102" t="s">
        <v>130</v>
      </c>
      <c r="CH4" s="102" t="s">
        <v>70</v>
      </c>
      <c r="CI4" s="100" t="s">
        <v>68</v>
      </c>
      <c r="CJ4" s="100" t="s">
        <v>138</v>
      </c>
      <c r="CK4" s="100" t="s">
        <v>69</v>
      </c>
      <c r="CL4" s="100" t="s">
        <v>139</v>
      </c>
      <c r="CM4" s="100" t="s">
        <v>129</v>
      </c>
      <c r="CN4" s="100" t="s">
        <v>140</v>
      </c>
      <c r="CO4" s="100" t="s">
        <v>143</v>
      </c>
      <c r="CP4" s="100" t="s">
        <v>130</v>
      </c>
      <c r="CQ4" s="100" t="s">
        <v>141</v>
      </c>
      <c r="CR4" s="100" t="s">
        <v>144</v>
      </c>
      <c r="CS4" s="100" t="s">
        <v>205</v>
      </c>
      <c r="CT4" s="100" t="s">
        <v>70</v>
      </c>
      <c r="CU4" s="100" t="s">
        <v>142</v>
      </c>
      <c r="CV4" s="130" t="s">
        <v>25</v>
      </c>
      <c r="CW4" s="130" t="s">
        <v>145</v>
      </c>
      <c r="CX4" s="130" t="s">
        <v>132</v>
      </c>
    </row>
    <row r="5" spans="1:102" ht="32.25" thickBot="1">
      <c r="A5" s="25" t="str">
        <f>IF('PI - PPG'!A3&lt;&gt;"",'PI - PPG'!A3,"")</f>
        <v>EF</v>
      </c>
      <c r="B5" s="25" t="str">
        <f>IF('PI - PPG'!B3&lt;&gt;"",'PI - PPG'!B3,"")</f>
        <v>UFPB/PB</v>
      </c>
      <c r="C5" s="120" t="s">
        <v>128</v>
      </c>
      <c r="D5" s="85">
        <v>1</v>
      </c>
      <c r="E5" s="25" t="str">
        <f>IF('PI - PPG'!D3&lt;&gt;"",'PI - PPG'!D3,"")</f>
        <v>ALEXANDRE SÉRGIO SILVA</v>
      </c>
      <c r="F5" s="128" t="str">
        <f>IF('PI - PPG'!E3&lt;&gt;"",'PI - PPG'!E3," ")</f>
        <v>P</v>
      </c>
      <c r="G5" s="236">
        <v>4</v>
      </c>
      <c r="H5" s="236">
        <v>0</v>
      </c>
      <c r="I5" s="230">
        <v>0</v>
      </c>
      <c r="J5" s="230">
        <v>0</v>
      </c>
      <c r="K5" s="230"/>
      <c r="L5" s="230">
        <v>0</v>
      </c>
      <c r="M5" s="230">
        <v>0</v>
      </c>
      <c r="N5" s="230"/>
      <c r="O5" s="230">
        <v>0</v>
      </c>
      <c r="P5" s="230">
        <v>0</v>
      </c>
      <c r="Q5" s="230">
        <v>0</v>
      </c>
      <c r="R5" s="230">
        <v>0</v>
      </c>
      <c r="S5" s="230">
        <v>0</v>
      </c>
      <c r="T5" s="230">
        <v>0</v>
      </c>
      <c r="U5" s="230">
        <v>0</v>
      </c>
      <c r="V5" s="230">
        <v>0</v>
      </c>
      <c r="W5" s="231">
        <v>0</v>
      </c>
      <c r="X5" s="231">
        <v>0</v>
      </c>
      <c r="Y5" s="231">
        <v>0</v>
      </c>
      <c r="Z5" s="128" t="s">
        <v>32</v>
      </c>
      <c r="AA5" s="236">
        <v>8</v>
      </c>
      <c r="AB5" s="236">
        <v>3</v>
      </c>
      <c r="AC5" s="230">
        <v>1</v>
      </c>
      <c r="AD5" s="230">
        <v>0</v>
      </c>
      <c r="AE5" s="230"/>
      <c r="AF5" s="230">
        <v>0</v>
      </c>
      <c r="AG5" s="230">
        <v>0</v>
      </c>
      <c r="AH5" s="230"/>
      <c r="AI5" s="230">
        <v>1</v>
      </c>
      <c r="AJ5" s="230">
        <v>0</v>
      </c>
      <c r="AK5" s="230">
        <v>0</v>
      </c>
      <c r="AL5" s="230">
        <v>0</v>
      </c>
      <c r="AM5" s="230">
        <v>0</v>
      </c>
      <c r="AN5" s="230">
        <v>0</v>
      </c>
      <c r="AO5" s="230">
        <v>0</v>
      </c>
      <c r="AP5" s="230">
        <v>0</v>
      </c>
      <c r="AQ5" s="231">
        <v>1</v>
      </c>
      <c r="AR5" s="231">
        <v>0</v>
      </c>
      <c r="AS5" s="231">
        <v>0</v>
      </c>
      <c r="AT5" s="128" t="s">
        <v>32</v>
      </c>
      <c r="AU5" s="236">
        <v>0</v>
      </c>
      <c r="AV5" s="236">
        <v>4</v>
      </c>
      <c r="AW5" s="230">
        <v>2</v>
      </c>
      <c r="AX5" s="230">
        <v>0</v>
      </c>
      <c r="AY5" s="230"/>
      <c r="AZ5" s="230">
        <v>0</v>
      </c>
      <c r="BA5" s="230">
        <v>0</v>
      </c>
      <c r="BB5" s="230"/>
      <c r="BC5" s="230">
        <v>2</v>
      </c>
      <c r="BD5" s="230">
        <v>0</v>
      </c>
      <c r="BE5" s="230">
        <v>0</v>
      </c>
      <c r="BF5" s="230">
        <v>0</v>
      </c>
      <c r="BG5" s="230">
        <v>0</v>
      </c>
      <c r="BH5" s="230">
        <v>0</v>
      </c>
      <c r="BI5" s="230">
        <v>1</v>
      </c>
      <c r="BJ5" s="230">
        <v>3</v>
      </c>
      <c r="BK5" s="231">
        <v>3</v>
      </c>
      <c r="BL5" s="231">
        <v>0</v>
      </c>
      <c r="BM5" s="95">
        <v>0</v>
      </c>
      <c r="BN5" s="319"/>
      <c r="BO5" s="129">
        <f>'PI - PPG'!BB3</f>
        <v>3</v>
      </c>
      <c r="BP5" s="91">
        <f>IF(BO5&gt;0,SUM(G5,AA5,AU5)/COUNTA(G5,AA5,AU5),"")</f>
        <v>4</v>
      </c>
      <c r="BQ5" s="91">
        <f>IF(BO5&gt;0,SUM(H5,AB5,AV5)/(COUNTA(H5,AB5,AV5)),"")</f>
        <v>2.3333333333333335</v>
      </c>
      <c r="BR5" s="91">
        <f>IF(BO5&gt;0,SUM(I5,AC5,AW5)/COUNTA(I5,AC5,AW5),"")</f>
        <v>1</v>
      </c>
      <c r="BS5" s="91">
        <f>IF(BO5&gt;0,SUM(J5,AD5,AX5)/COUNTA(J5,AD5,AX5),"")</f>
        <v>0</v>
      </c>
      <c r="BT5" s="91" t="e">
        <f>IF(BO5&gt;0,SUM(K5,AE5,AY5)/COUNTA(K5,AE5,AY5),"")</f>
        <v>#DIV/0!</v>
      </c>
      <c r="BU5" s="91">
        <f>IF(BO5&gt;0,SUM(L5,AF5,AZ5)/COUNTA(L5,AF5,AZ5),"")</f>
        <v>0</v>
      </c>
      <c r="BV5" s="91">
        <f>IF(BO5&gt;0,SUM(M5,AG5,BA5)/COUNTA(M5,AG5,BA5),"")</f>
        <v>0</v>
      </c>
      <c r="BW5" s="91" t="e">
        <f>IF(BO5&gt;0,SUM(N5,AH5,BB5)/COUNTA(N5,AH5,BB5),"")</f>
        <v>#DIV/0!</v>
      </c>
      <c r="BX5" s="91">
        <f>IF(BO5&gt;0,SUM(O5,AI5,BC5)/COUNTA(O5,AI5,BC5),"")</f>
        <v>1</v>
      </c>
      <c r="BY5" s="91">
        <f>IF(BO5&gt;0,SUM(P5,AJ5,BD5)/COUNTA(P5,AJ5,BD5),"")</f>
        <v>0</v>
      </c>
      <c r="BZ5" s="91">
        <f>IF(BO5&gt;0,SUM(Q5,AK5,BE5)/COUNTA(Q5,AK5,BE5),"")</f>
        <v>0</v>
      </c>
      <c r="CA5" s="91">
        <f>IF(BO5&gt;0,SUM(R5,AL5,BF5)/COUNTA(R5,AL5,BF5),"")</f>
        <v>0</v>
      </c>
      <c r="CB5" s="91">
        <f>IF(BO5&gt;0,SUM(S5,AM5,BG5)/COUNTA(S5,AM5,BG5),"")</f>
        <v>0</v>
      </c>
      <c r="CC5" s="91">
        <f>IF(BO5&gt;0,SUM(T5,AN5,BH5)/COUNTA(T5,AN5,BH5),"")</f>
        <v>0</v>
      </c>
      <c r="CD5" s="91">
        <f>IF(BO5&gt;0,SUM(U5,AO5,BI5)/COUNTA(U5,AO5,BI5),"")</f>
        <v>0.3333333333333333</v>
      </c>
      <c r="CE5" s="91">
        <f>IF(BO5&gt;0,SUM(V5,AP5,BJ5)/COUNTA(V5,AP5,BJ5),"")</f>
        <v>1</v>
      </c>
      <c r="CF5" s="91">
        <f>IF(BO5&gt;0,SUM(W5,AQ5,BK5)/COUNTA(W5,AQ5,BK5),"")</f>
        <v>1.3333333333333333</v>
      </c>
      <c r="CG5" s="91">
        <f>IF(BO5&gt;0,SUM(X5,AR5,BL5)/COUNTA(X5,AR5,BL5),"")</f>
        <v>0</v>
      </c>
      <c r="CH5" s="91">
        <f>IF(BO5&gt;0,SUM(Y5,AS5,BM5)/COUNTA(Y5,AS5,BM5),"")</f>
        <v>0</v>
      </c>
      <c r="CI5" s="119">
        <f>BP5</f>
        <v>4</v>
      </c>
      <c r="CJ5" s="119">
        <f>IF(BO5&gt;0,G5+AA5+AU5,"")</f>
        <v>12</v>
      </c>
      <c r="CK5" s="119">
        <f>BQ5</f>
        <v>2.3333333333333335</v>
      </c>
      <c r="CL5" s="119">
        <f>IF(BO5&gt;0,H5+AB5+AX5,"")</f>
        <v>3</v>
      </c>
      <c r="CM5" s="119">
        <f>IF(BO5&gt;0,BR5+CF5,"")</f>
        <v>2.333333333333333</v>
      </c>
      <c r="CN5" s="119">
        <f>IF(BO5&gt;0,I5+AC5+AW5,"")</f>
        <v>3</v>
      </c>
      <c r="CO5" s="119">
        <f>IF(BO5&gt;0,J5+AD5+AX5,"")</f>
        <v>0</v>
      </c>
      <c r="CP5" s="119">
        <f>IF(BO5&gt;0,BU5+CG5,"")</f>
        <v>0</v>
      </c>
      <c r="CQ5" s="119">
        <f>IF(BO5&gt;0,L5+AF5+AZ5,"")</f>
        <v>0</v>
      </c>
      <c r="CR5" s="119">
        <f>IF(BO5&gt;0,M5+AG5+BA5,"")</f>
        <v>0</v>
      </c>
      <c r="CS5" s="119">
        <f>IF(BO5&gt;0,SUM(BX5:BY5),"")</f>
        <v>1</v>
      </c>
      <c r="CT5" s="119">
        <f aca="true" t="shared" si="0" ref="CT5:CT24">IF(BO5&gt;0,CA5+CH5,"")</f>
        <v>0</v>
      </c>
      <c r="CU5" s="119">
        <f aca="true" t="shared" si="1" ref="CU5:CU23">IF(BO5&gt;0,R5+AL5+BF5,"")</f>
        <v>0</v>
      </c>
      <c r="CV5" s="119">
        <f aca="true" t="shared" si="2" ref="CV5:CV23">IF(BO5&gt;0,T5+AN5+BH5,"")</f>
        <v>0</v>
      </c>
      <c r="CW5" s="119">
        <f aca="true" t="shared" si="3" ref="CW5:CW23">IF(BO5&gt;0,U5+AO5+BI5,"")</f>
        <v>1</v>
      </c>
      <c r="CX5" s="119">
        <f aca="true" t="shared" si="4" ref="CX5:CX23">IF(BO5&gt;0,V5+AP5+BJ5,"")</f>
        <v>3</v>
      </c>
    </row>
    <row r="6" spans="1:102" ht="32.25" thickBot="1">
      <c r="A6" s="25" t="str">
        <f>IF('PI - PPG'!A4&lt;&gt;"",'PI - PPG'!A4,"")</f>
        <v>EF</v>
      </c>
      <c r="B6" s="25" t="str">
        <f>IF('PI - PPG'!B4&lt;&gt;"",'PI - PPG'!B4,"")</f>
        <v>UFPB/PB</v>
      </c>
      <c r="C6" s="120" t="s">
        <v>128</v>
      </c>
      <c r="D6" s="85">
        <v>2</v>
      </c>
      <c r="E6" s="25" t="str">
        <f>IF('PI - PPG'!D4&lt;&gt;"",'PI - PPG'!D4,"")</f>
        <v>AMILTON DA CRUZ SANTOS</v>
      </c>
      <c r="F6" s="128" t="str">
        <f>IF('PI - PPG'!E4&lt;&gt;"",'PI - PPG'!E4," ")</f>
        <v>P</v>
      </c>
      <c r="G6" s="236">
        <v>1</v>
      </c>
      <c r="H6" s="236">
        <v>2</v>
      </c>
      <c r="I6" s="230">
        <v>4</v>
      </c>
      <c r="J6" s="230">
        <v>2</v>
      </c>
      <c r="K6" s="230">
        <v>24</v>
      </c>
      <c r="L6" s="230">
        <v>0</v>
      </c>
      <c r="M6" s="230">
        <v>0</v>
      </c>
      <c r="N6" s="230"/>
      <c r="O6" s="230">
        <v>4</v>
      </c>
      <c r="P6" s="230">
        <v>0</v>
      </c>
      <c r="Q6" s="230">
        <v>0</v>
      </c>
      <c r="R6" s="230">
        <v>0</v>
      </c>
      <c r="S6" s="230">
        <v>0</v>
      </c>
      <c r="T6" s="230">
        <v>3</v>
      </c>
      <c r="U6" s="230">
        <v>0</v>
      </c>
      <c r="V6" s="230">
        <v>4</v>
      </c>
      <c r="W6" s="231">
        <v>0</v>
      </c>
      <c r="X6" s="231">
        <v>0</v>
      </c>
      <c r="Y6" s="231">
        <v>0</v>
      </c>
      <c r="Z6" s="128" t="s">
        <v>32</v>
      </c>
      <c r="AA6" s="236">
        <v>1</v>
      </c>
      <c r="AB6" s="236">
        <v>2</v>
      </c>
      <c r="AC6" s="230">
        <v>3</v>
      </c>
      <c r="AD6" s="230">
        <v>2</v>
      </c>
      <c r="AE6" s="230">
        <v>24</v>
      </c>
      <c r="AF6" s="230">
        <v>0</v>
      </c>
      <c r="AG6" s="230">
        <v>0</v>
      </c>
      <c r="AH6" s="230"/>
      <c r="AI6" s="230">
        <v>3</v>
      </c>
      <c r="AJ6" s="230">
        <v>0</v>
      </c>
      <c r="AK6" s="230">
        <v>0</v>
      </c>
      <c r="AL6" s="230">
        <v>0</v>
      </c>
      <c r="AM6" s="230">
        <v>0</v>
      </c>
      <c r="AN6" s="230">
        <v>3</v>
      </c>
      <c r="AO6" s="230">
        <v>1</v>
      </c>
      <c r="AP6" s="230">
        <v>3</v>
      </c>
      <c r="AQ6" s="231">
        <v>2</v>
      </c>
      <c r="AR6" s="231">
        <v>0</v>
      </c>
      <c r="AS6" s="231">
        <v>0</v>
      </c>
      <c r="AT6" s="128" t="s">
        <v>32</v>
      </c>
      <c r="AU6" s="236">
        <v>2</v>
      </c>
      <c r="AV6" s="236">
        <v>2</v>
      </c>
      <c r="AW6" s="230">
        <v>1</v>
      </c>
      <c r="AX6" s="230">
        <v>2</v>
      </c>
      <c r="AY6" s="230">
        <v>26</v>
      </c>
      <c r="AZ6" s="230">
        <v>0</v>
      </c>
      <c r="BA6" s="230">
        <v>0</v>
      </c>
      <c r="BB6" s="230"/>
      <c r="BC6" s="230">
        <v>1</v>
      </c>
      <c r="BD6" s="230">
        <v>0</v>
      </c>
      <c r="BE6" s="230">
        <v>0</v>
      </c>
      <c r="BF6" s="230">
        <v>0</v>
      </c>
      <c r="BG6" s="230">
        <v>0</v>
      </c>
      <c r="BH6" s="230">
        <v>0</v>
      </c>
      <c r="BI6" s="230">
        <v>0</v>
      </c>
      <c r="BJ6" s="230">
        <v>1</v>
      </c>
      <c r="BK6" s="231">
        <v>0</v>
      </c>
      <c r="BL6" s="231">
        <v>0</v>
      </c>
      <c r="BM6" s="95">
        <v>0</v>
      </c>
      <c r="BN6" s="319"/>
      <c r="BO6" s="129">
        <f>'PI - PPG'!BB4</f>
        <v>3</v>
      </c>
      <c r="BP6" s="91">
        <f aca="true" t="shared" si="5" ref="BP6:BP23">IF(BO6&gt;0,SUM(G6,AA6,AU6)/COUNTA(G6,AA6,AU6),"")</f>
        <v>1.3333333333333333</v>
      </c>
      <c r="BQ6" s="91">
        <f aca="true" t="shared" si="6" ref="BQ6:BQ23">IF(BO6&gt;0,SUM(H6,AB6,AV6)/(COUNTA(H6,AB6,AV6)),"")</f>
        <v>2</v>
      </c>
      <c r="BR6" s="91">
        <f aca="true" t="shared" si="7" ref="BR6:BR23">IF(BO6&gt;0,SUM(I6,AC6,AW6)/COUNTA(I6,AC6,AW6),"")</f>
        <v>2.6666666666666665</v>
      </c>
      <c r="BS6" s="91">
        <f aca="true" t="shared" si="8" ref="BS6:BS23">IF(BO6&gt;0,SUM(J6,AD6,AX6)/COUNTA(J6,AD6,AX6),"")</f>
        <v>2</v>
      </c>
      <c r="BT6" s="91">
        <f aca="true" t="shared" si="9" ref="BT6:BT23">IF(BO6&gt;0,SUM(K6,AE6,AY6)/COUNTA(K6,AE6,AY6),"")</f>
        <v>24.666666666666668</v>
      </c>
      <c r="BU6" s="91">
        <f aca="true" t="shared" si="10" ref="BU6:BU23">IF(BO6&gt;0,SUM(L6,AF6,AZ6)/COUNTA(L6,AF6,AZ6),"")</f>
        <v>0</v>
      </c>
      <c r="BV6" s="91">
        <f aca="true" t="shared" si="11" ref="BV6:BV23">IF(BO6&gt;0,SUM(M6,AG6,BA6)/COUNTA(M6,AG6,BA6),"")</f>
        <v>0</v>
      </c>
      <c r="BW6" s="91" t="e">
        <f aca="true" t="shared" si="12" ref="BW6:BW23">IF(BO6&gt;0,SUM(N6,AH6,BB6)/COUNTA(N6,AH6,BB6),"")</f>
        <v>#DIV/0!</v>
      </c>
      <c r="BX6" s="91">
        <f aca="true" t="shared" si="13" ref="BX6:BX23">IF(BO6&gt;0,SUM(O6,AI6,BC6)/COUNTA(O6,AI6,BC6),"")</f>
        <v>2.6666666666666665</v>
      </c>
      <c r="BY6" s="91">
        <f aca="true" t="shared" si="14" ref="BY6:BY23">IF(BO6&gt;0,SUM(P6,AJ6,BD6)/COUNTA(P6,AJ6,BD6),"")</f>
        <v>0</v>
      </c>
      <c r="BZ6" s="91">
        <f aca="true" t="shared" si="15" ref="BZ6:BZ23">IF(BO6&gt;0,SUM(Q6,AK6,BE6)/COUNTA(Q6,AK6,BE6),"")</f>
        <v>0</v>
      </c>
      <c r="CA6" s="91">
        <f aca="true" t="shared" si="16" ref="CA6:CA23">IF(BO6&gt;0,SUM(R6,AL6,BF6)/COUNTA(R6,AL6,BF6),"")</f>
        <v>0</v>
      </c>
      <c r="CB6" s="91">
        <f aca="true" t="shared" si="17" ref="CB6:CB23">IF(BO6&gt;0,SUM(S6,AM6,BG6)/COUNTA(S6,AM6,BG6),"")</f>
        <v>0</v>
      </c>
      <c r="CC6" s="91">
        <f aca="true" t="shared" si="18" ref="CC6:CC23">IF(BO6&gt;0,SUM(T6,AN6,BH6)/COUNTA(T6,AN6,BH6),"")</f>
        <v>2</v>
      </c>
      <c r="CD6" s="91">
        <f aca="true" t="shared" si="19" ref="CD6:CD23">IF(BO6&gt;0,SUM(U6,AO6,BI6)/COUNTA(U6,AO6,BI6),"")</f>
        <v>0.3333333333333333</v>
      </c>
      <c r="CE6" s="91">
        <f aca="true" t="shared" si="20" ref="CE6:CE23">IF(BO6&gt;0,SUM(V6,AP6,BJ6)/COUNTA(V6,AP6,BJ6),"")</f>
        <v>2.6666666666666665</v>
      </c>
      <c r="CF6" s="91">
        <f aca="true" t="shared" si="21" ref="CF6:CF23">IF(BO6&gt;0,SUM(W6,AQ6,BK6)/COUNTA(W6,AQ6,BK6),"")</f>
        <v>0.6666666666666666</v>
      </c>
      <c r="CG6" s="91">
        <f aca="true" t="shared" si="22" ref="CG6:CG23">IF(BO6&gt;0,SUM(X6,AR6,BL6)/COUNTA(X6,AR6,BL6),"")</f>
        <v>0</v>
      </c>
      <c r="CH6" s="91">
        <f aca="true" t="shared" si="23" ref="CH6:CH23">IF(BO6&gt;0,SUM(Y6,AS6,BM6)/COUNTA(Y6,AS6,BM6),"")</f>
        <v>0</v>
      </c>
      <c r="CI6" s="119">
        <f aca="true" t="shared" si="24" ref="CI6:CI23">BP6</f>
        <v>1.3333333333333333</v>
      </c>
      <c r="CJ6" s="119">
        <f aca="true" t="shared" si="25" ref="CJ6:CJ23">IF(BO6&gt;0,G6+AA6+AU6,"")</f>
        <v>4</v>
      </c>
      <c r="CK6" s="119">
        <f aca="true" t="shared" si="26" ref="CK6:CK23">BQ6</f>
        <v>2</v>
      </c>
      <c r="CL6" s="119">
        <f aca="true" t="shared" si="27" ref="CL6:CL23">IF(BO6&gt;0,H6+AB6+AX6,"")</f>
        <v>6</v>
      </c>
      <c r="CM6" s="119">
        <f aca="true" t="shared" si="28" ref="CM6:CM24">IF(BO6&gt;0,BR6+CF6,"")</f>
        <v>3.333333333333333</v>
      </c>
      <c r="CN6" s="119">
        <f aca="true" t="shared" si="29" ref="CN6:CN23">IF(BO6&gt;0,I6+AC6+AW6,"")</f>
        <v>8</v>
      </c>
      <c r="CO6" s="119">
        <f aca="true" t="shared" si="30" ref="CO6:CO23">IF(BO6&gt;0,J6+AD6+AX6,"")</f>
        <v>6</v>
      </c>
      <c r="CP6" s="119">
        <f aca="true" t="shared" si="31" ref="CP6:CP24">IF(BO6&gt;0,BU6+CG6,"")</f>
        <v>0</v>
      </c>
      <c r="CQ6" s="119">
        <f aca="true" t="shared" si="32" ref="CQ6:CQ23">IF(BO6&gt;0,L6+AF6+AZ6,"")</f>
        <v>0</v>
      </c>
      <c r="CR6" s="119">
        <f aca="true" t="shared" si="33" ref="CR6:CR23">IF(BO6&gt;0,M6+AG6+BA6,"")</f>
        <v>0</v>
      </c>
      <c r="CS6" s="119">
        <f aca="true" t="shared" si="34" ref="CS6:CS23">IF(BO6&gt;0,SUM(BX6:BY6),"")</f>
        <v>2.6666666666666665</v>
      </c>
      <c r="CT6" s="119">
        <f t="shared" si="0"/>
        <v>0</v>
      </c>
      <c r="CU6" s="119">
        <f t="shared" si="1"/>
        <v>0</v>
      </c>
      <c r="CV6" s="119">
        <f t="shared" si="2"/>
        <v>6</v>
      </c>
      <c r="CW6" s="119">
        <f t="shared" si="3"/>
        <v>1</v>
      </c>
      <c r="CX6" s="119">
        <f t="shared" si="4"/>
        <v>8</v>
      </c>
    </row>
    <row r="7" spans="1:102" ht="48" thickBot="1">
      <c r="A7" s="25" t="str">
        <f>IF('PI - PPG'!A5&lt;&gt;"",'PI - PPG'!A5,"")</f>
        <v>EF</v>
      </c>
      <c r="B7" s="25" t="str">
        <f>IF('PI - PPG'!B5&lt;&gt;"",'PI - PPG'!B5,"")</f>
        <v>UFPB/PB</v>
      </c>
      <c r="C7" s="120" t="s">
        <v>128</v>
      </c>
      <c r="D7" s="85">
        <v>3</v>
      </c>
      <c r="E7" s="25" t="str">
        <f>IF('PI - PPG'!D5&lt;&gt;"",'PI - PPG'!D5,"")</f>
        <v>CAROLINE OLIVEIRA MARTINS</v>
      </c>
      <c r="F7" s="128" t="str">
        <f>IF('PI - PPG'!E5&lt;&gt;"",'PI - PPG'!E5," ")</f>
        <v>C</v>
      </c>
      <c r="G7" s="236">
        <v>1</v>
      </c>
      <c r="H7" s="236">
        <v>0</v>
      </c>
      <c r="I7" s="230">
        <v>1</v>
      </c>
      <c r="J7" s="230">
        <v>0</v>
      </c>
      <c r="K7" s="230">
        <v>24</v>
      </c>
      <c r="L7" s="230">
        <v>0</v>
      </c>
      <c r="M7" s="230">
        <v>0</v>
      </c>
      <c r="N7" s="230"/>
      <c r="O7" s="230">
        <v>1</v>
      </c>
      <c r="P7" s="230">
        <v>0</v>
      </c>
      <c r="Q7" s="230">
        <v>0</v>
      </c>
      <c r="R7" s="230">
        <v>0</v>
      </c>
      <c r="S7" s="230">
        <v>0</v>
      </c>
      <c r="T7" s="230">
        <v>0</v>
      </c>
      <c r="U7" s="230">
        <v>0</v>
      </c>
      <c r="V7" s="230">
        <v>0</v>
      </c>
      <c r="W7" s="231">
        <v>0</v>
      </c>
      <c r="X7" s="231">
        <v>0</v>
      </c>
      <c r="Y7" s="231">
        <v>0</v>
      </c>
      <c r="Z7" s="128" t="s">
        <v>219</v>
      </c>
      <c r="AA7" s="236">
        <v>8</v>
      </c>
      <c r="AB7" s="236">
        <v>0</v>
      </c>
      <c r="AC7" s="230">
        <v>1</v>
      </c>
      <c r="AD7" s="230">
        <v>0</v>
      </c>
      <c r="AE7" s="230"/>
      <c r="AF7" s="230">
        <v>0</v>
      </c>
      <c r="AG7" s="230">
        <v>0</v>
      </c>
      <c r="AH7" s="230"/>
      <c r="AI7" s="230">
        <v>1</v>
      </c>
      <c r="AJ7" s="230">
        <v>0</v>
      </c>
      <c r="AK7" s="230">
        <v>0</v>
      </c>
      <c r="AL7" s="230">
        <v>0</v>
      </c>
      <c r="AM7" s="230">
        <v>0</v>
      </c>
      <c r="AN7" s="230">
        <v>0</v>
      </c>
      <c r="AO7" s="230">
        <v>0</v>
      </c>
      <c r="AP7" s="230">
        <v>0</v>
      </c>
      <c r="AQ7" s="231">
        <v>0</v>
      </c>
      <c r="AR7" s="231">
        <v>0</v>
      </c>
      <c r="AS7" s="231">
        <v>0</v>
      </c>
      <c r="AT7" s="128" t="s">
        <v>219</v>
      </c>
      <c r="AU7" s="236">
        <v>2</v>
      </c>
      <c r="AV7" s="236">
        <v>0</v>
      </c>
      <c r="AW7" s="230">
        <v>1</v>
      </c>
      <c r="AX7" s="230">
        <v>0</v>
      </c>
      <c r="AY7" s="230">
        <v>24</v>
      </c>
      <c r="AZ7" s="230">
        <v>0</v>
      </c>
      <c r="BA7" s="230">
        <v>0</v>
      </c>
      <c r="BB7" s="230"/>
      <c r="BC7" s="230">
        <v>1</v>
      </c>
      <c r="BD7" s="230">
        <v>0</v>
      </c>
      <c r="BE7" s="230">
        <v>0</v>
      </c>
      <c r="BF7" s="230">
        <v>0</v>
      </c>
      <c r="BG7" s="230">
        <v>0</v>
      </c>
      <c r="BH7" s="230">
        <v>0</v>
      </c>
      <c r="BI7" s="230">
        <v>0</v>
      </c>
      <c r="BJ7" s="230">
        <v>0</v>
      </c>
      <c r="BK7" s="231">
        <v>0</v>
      </c>
      <c r="BL7" s="231">
        <v>0</v>
      </c>
      <c r="BM7" s="95">
        <v>0</v>
      </c>
      <c r="BN7" s="319"/>
      <c r="BO7" s="129">
        <f>'PI - PPG'!BB5</f>
        <v>0</v>
      </c>
      <c r="BP7" s="91">
        <f t="shared" si="5"/>
      </c>
      <c r="BQ7" s="91">
        <f t="shared" si="6"/>
      </c>
      <c r="BR7" s="91">
        <f t="shared" si="7"/>
      </c>
      <c r="BS7" s="91">
        <f t="shared" si="8"/>
      </c>
      <c r="BT7" s="91">
        <f t="shared" si="9"/>
      </c>
      <c r="BU7" s="91">
        <f t="shared" si="10"/>
      </c>
      <c r="BV7" s="91">
        <f t="shared" si="11"/>
      </c>
      <c r="BW7" s="91">
        <f t="shared" si="12"/>
      </c>
      <c r="BX7" s="91">
        <f t="shared" si="13"/>
      </c>
      <c r="BY7" s="91">
        <f t="shared" si="14"/>
      </c>
      <c r="BZ7" s="91">
        <f t="shared" si="15"/>
      </c>
      <c r="CA7" s="91">
        <f t="shared" si="16"/>
      </c>
      <c r="CB7" s="91">
        <f t="shared" si="17"/>
      </c>
      <c r="CC7" s="91">
        <f t="shared" si="18"/>
      </c>
      <c r="CD7" s="91">
        <f t="shared" si="19"/>
      </c>
      <c r="CE7" s="91">
        <f t="shared" si="20"/>
      </c>
      <c r="CF7" s="91">
        <f t="shared" si="21"/>
      </c>
      <c r="CG7" s="91">
        <f t="shared" si="22"/>
      </c>
      <c r="CH7" s="91">
        <f t="shared" si="23"/>
      </c>
      <c r="CI7" s="119">
        <f t="shared" si="24"/>
      </c>
      <c r="CJ7" s="119">
        <f t="shared" si="25"/>
      </c>
      <c r="CK7" s="119">
        <f t="shared" si="26"/>
      </c>
      <c r="CL7" s="119">
        <f t="shared" si="27"/>
      </c>
      <c r="CM7" s="119">
        <f t="shared" si="28"/>
      </c>
      <c r="CN7" s="119">
        <f t="shared" si="29"/>
      </c>
      <c r="CO7" s="119">
        <f t="shared" si="30"/>
      </c>
      <c r="CP7" s="119">
        <f t="shared" si="31"/>
      </c>
      <c r="CQ7" s="119">
        <f t="shared" si="32"/>
      </c>
      <c r="CR7" s="119">
        <f t="shared" si="33"/>
      </c>
      <c r="CS7" s="119">
        <f t="shared" si="34"/>
      </c>
      <c r="CT7" s="119">
        <f t="shared" si="0"/>
      </c>
      <c r="CU7" s="119">
        <f t="shared" si="1"/>
      </c>
      <c r="CV7" s="119">
        <f t="shared" si="2"/>
      </c>
      <c r="CW7" s="119">
        <f t="shared" si="3"/>
      </c>
      <c r="CX7" s="119">
        <f t="shared" si="4"/>
      </c>
    </row>
    <row r="8" spans="1:102" ht="48" thickBot="1">
      <c r="A8" s="25" t="str">
        <f>IF('PI - PPG'!A6&lt;&gt;"",'PI - PPG'!A6,"")</f>
        <v>EF</v>
      </c>
      <c r="B8" s="25" t="str">
        <f>IF('PI - PPG'!B6&lt;&gt;"",'PI - PPG'!B6,"")</f>
        <v>UPE/PE</v>
      </c>
      <c r="C8" s="120" t="s">
        <v>128</v>
      </c>
      <c r="D8" s="85">
        <v>4</v>
      </c>
      <c r="E8" s="25" t="str">
        <f>IF('PI - PPG'!D6&lt;&gt;"",'PI - PPG'!D6,"")</f>
        <v>CLARA M. MONTEIRO S. DE FREITAS</v>
      </c>
      <c r="F8" s="128" t="str">
        <f>IF('PI - PPG'!E6&lt;&gt;"",'PI - PPG'!E6," ")</f>
        <v>P</v>
      </c>
      <c r="G8" s="237">
        <v>16</v>
      </c>
      <c r="H8" s="237">
        <v>1</v>
      </c>
      <c r="I8" s="232">
        <v>2</v>
      </c>
      <c r="J8" s="232">
        <v>1</v>
      </c>
      <c r="K8" s="232">
        <v>24</v>
      </c>
      <c r="L8" s="232">
        <v>0</v>
      </c>
      <c r="M8" s="232">
        <v>0</v>
      </c>
      <c r="N8" s="232"/>
      <c r="O8" s="230">
        <v>2</v>
      </c>
      <c r="P8" s="230">
        <v>0</v>
      </c>
      <c r="Q8" s="232">
        <v>0</v>
      </c>
      <c r="R8" s="232">
        <v>0</v>
      </c>
      <c r="S8" s="232">
        <v>0</v>
      </c>
      <c r="T8" s="232">
        <v>1</v>
      </c>
      <c r="U8" s="232">
        <v>1</v>
      </c>
      <c r="V8" s="232">
        <v>2</v>
      </c>
      <c r="W8" s="233">
        <v>0</v>
      </c>
      <c r="X8" s="233">
        <v>0</v>
      </c>
      <c r="Y8" s="233">
        <v>0</v>
      </c>
      <c r="Z8" s="128" t="str">
        <f>IF('PI - PPG'!U6&lt;&gt;"",'PI - PPG'!U6," ")</f>
        <v>P</v>
      </c>
      <c r="AA8" s="237">
        <v>28</v>
      </c>
      <c r="AB8" s="237">
        <v>3</v>
      </c>
      <c r="AC8" s="232">
        <v>3</v>
      </c>
      <c r="AD8" s="232">
        <v>2</v>
      </c>
      <c r="AE8" s="232">
        <v>24</v>
      </c>
      <c r="AF8" s="232">
        <v>0</v>
      </c>
      <c r="AG8" s="232">
        <v>0</v>
      </c>
      <c r="AH8" s="232"/>
      <c r="AI8" s="230">
        <v>3</v>
      </c>
      <c r="AJ8" s="230">
        <v>0</v>
      </c>
      <c r="AK8" s="232">
        <v>0</v>
      </c>
      <c r="AL8" s="232">
        <v>0</v>
      </c>
      <c r="AM8" s="232">
        <v>0</v>
      </c>
      <c r="AN8" s="232">
        <v>2</v>
      </c>
      <c r="AO8" s="232">
        <v>2</v>
      </c>
      <c r="AP8" s="232">
        <v>3</v>
      </c>
      <c r="AQ8" s="233">
        <v>1</v>
      </c>
      <c r="AR8" s="233">
        <v>0</v>
      </c>
      <c r="AS8" s="233">
        <v>0</v>
      </c>
      <c r="AT8" s="128" t="str">
        <f>IF('PI - PPG'!AK6&lt;&gt;"",'PI - PPG'!AK6," ")</f>
        <v>P</v>
      </c>
      <c r="AU8" s="237">
        <v>16</v>
      </c>
      <c r="AV8" s="237">
        <v>4</v>
      </c>
      <c r="AW8" s="232">
        <v>3</v>
      </c>
      <c r="AX8" s="232">
        <v>0</v>
      </c>
      <c r="AY8" s="232"/>
      <c r="AZ8" s="232">
        <v>0</v>
      </c>
      <c r="BA8" s="232">
        <v>0</v>
      </c>
      <c r="BB8" s="232"/>
      <c r="BC8" s="230">
        <v>2</v>
      </c>
      <c r="BD8" s="230">
        <v>0</v>
      </c>
      <c r="BE8" s="232">
        <v>0</v>
      </c>
      <c r="BF8" s="232">
        <v>0</v>
      </c>
      <c r="BG8" s="232">
        <v>0</v>
      </c>
      <c r="BH8" s="232">
        <v>2</v>
      </c>
      <c r="BI8" s="232">
        <v>0</v>
      </c>
      <c r="BJ8" s="232">
        <v>3</v>
      </c>
      <c r="BK8" s="233">
        <v>2</v>
      </c>
      <c r="BL8" s="233">
        <v>0</v>
      </c>
      <c r="BM8" s="97">
        <v>0</v>
      </c>
      <c r="BN8" s="319"/>
      <c r="BO8" s="129">
        <f>'PI - PPG'!BB6</f>
        <v>3</v>
      </c>
      <c r="BP8" s="91">
        <f t="shared" si="5"/>
        <v>20</v>
      </c>
      <c r="BQ8" s="91">
        <f t="shared" si="6"/>
        <v>2.6666666666666665</v>
      </c>
      <c r="BR8" s="91">
        <f t="shared" si="7"/>
        <v>2.6666666666666665</v>
      </c>
      <c r="BS8" s="91">
        <f t="shared" si="8"/>
        <v>1</v>
      </c>
      <c r="BT8" s="91">
        <f t="shared" si="9"/>
        <v>24</v>
      </c>
      <c r="BU8" s="91">
        <f t="shared" si="10"/>
        <v>0</v>
      </c>
      <c r="BV8" s="91">
        <f t="shared" si="11"/>
        <v>0</v>
      </c>
      <c r="BW8" s="91" t="e">
        <f t="shared" si="12"/>
        <v>#DIV/0!</v>
      </c>
      <c r="BX8" s="91">
        <f t="shared" si="13"/>
        <v>2.3333333333333335</v>
      </c>
      <c r="BY8" s="91">
        <f t="shared" si="14"/>
        <v>0</v>
      </c>
      <c r="BZ8" s="91">
        <f t="shared" si="15"/>
        <v>0</v>
      </c>
      <c r="CA8" s="91">
        <f t="shared" si="16"/>
        <v>0</v>
      </c>
      <c r="CB8" s="91">
        <f t="shared" si="17"/>
        <v>0</v>
      </c>
      <c r="CC8" s="91">
        <f t="shared" si="18"/>
        <v>1.6666666666666667</v>
      </c>
      <c r="CD8" s="91">
        <f t="shared" si="19"/>
        <v>1</v>
      </c>
      <c r="CE8" s="91">
        <f t="shared" si="20"/>
        <v>2.6666666666666665</v>
      </c>
      <c r="CF8" s="91">
        <f t="shared" si="21"/>
        <v>1</v>
      </c>
      <c r="CG8" s="91">
        <f t="shared" si="22"/>
        <v>0</v>
      </c>
      <c r="CH8" s="91">
        <f t="shared" si="23"/>
        <v>0</v>
      </c>
      <c r="CI8" s="119">
        <f t="shared" si="24"/>
        <v>20</v>
      </c>
      <c r="CJ8" s="119">
        <f t="shared" si="25"/>
        <v>60</v>
      </c>
      <c r="CK8" s="119">
        <f t="shared" si="26"/>
        <v>2.6666666666666665</v>
      </c>
      <c r="CL8" s="119">
        <f t="shared" si="27"/>
        <v>4</v>
      </c>
      <c r="CM8" s="119">
        <f t="shared" si="28"/>
        <v>3.6666666666666665</v>
      </c>
      <c r="CN8" s="119">
        <f t="shared" si="29"/>
        <v>8</v>
      </c>
      <c r="CO8" s="119">
        <f t="shared" si="30"/>
        <v>3</v>
      </c>
      <c r="CP8" s="119">
        <f t="shared" si="31"/>
        <v>0</v>
      </c>
      <c r="CQ8" s="119">
        <f t="shared" si="32"/>
        <v>0</v>
      </c>
      <c r="CR8" s="119">
        <f t="shared" si="33"/>
        <v>0</v>
      </c>
      <c r="CS8" s="119">
        <f t="shared" si="34"/>
        <v>2.3333333333333335</v>
      </c>
      <c r="CT8" s="119">
        <f t="shared" si="0"/>
        <v>0</v>
      </c>
      <c r="CU8" s="119">
        <f t="shared" si="1"/>
        <v>0</v>
      </c>
      <c r="CV8" s="119">
        <f t="shared" si="2"/>
        <v>5</v>
      </c>
      <c r="CW8" s="119">
        <f t="shared" si="3"/>
        <v>3</v>
      </c>
      <c r="CX8" s="119">
        <f t="shared" si="4"/>
        <v>8</v>
      </c>
    </row>
    <row r="9" spans="1:102" ht="48" thickBot="1">
      <c r="A9" s="25" t="str">
        <f>IF('PI - PPG'!A7&lt;&gt;"",'PI - PPG'!A7,"")</f>
        <v>EF</v>
      </c>
      <c r="B9" s="25" t="str">
        <f>IF('PI - PPG'!B7&lt;&gt;"",'PI - PPG'!B7,"")</f>
        <v>UFPB/PB</v>
      </c>
      <c r="C9" s="120" t="s">
        <v>128</v>
      </c>
      <c r="D9" s="85">
        <v>5</v>
      </c>
      <c r="E9" s="25" t="str">
        <f>IF('PI - PPG'!D7&lt;&gt;"",'PI - PPG'!D7,"")</f>
        <v>DANIELA KARINA DA SILVA</v>
      </c>
      <c r="F9" s="128" t="str">
        <f>IF('PI - PPG'!E7&lt;&gt;"",'PI - PPG'!E7," ")</f>
        <v>C</v>
      </c>
      <c r="G9" s="238">
        <v>2</v>
      </c>
      <c r="H9" s="238">
        <v>3</v>
      </c>
      <c r="I9" s="234">
        <v>0</v>
      </c>
      <c r="J9" s="234">
        <v>0</v>
      </c>
      <c r="K9" s="230"/>
      <c r="L9" s="234">
        <v>0</v>
      </c>
      <c r="M9" s="234">
        <v>0</v>
      </c>
      <c r="N9" s="234"/>
      <c r="O9" s="230">
        <v>1</v>
      </c>
      <c r="P9" s="230">
        <v>0</v>
      </c>
      <c r="Q9" s="234">
        <v>0</v>
      </c>
      <c r="R9" s="234">
        <v>0</v>
      </c>
      <c r="S9" s="234">
        <v>0</v>
      </c>
      <c r="T9" s="234">
        <v>0</v>
      </c>
      <c r="U9" s="234">
        <v>0</v>
      </c>
      <c r="V9" s="234">
        <v>0</v>
      </c>
      <c r="W9" s="235">
        <v>0</v>
      </c>
      <c r="X9" s="235">
        <v>0</v>
      </c>
      <c r="Y9" s="235">
        <v>0</v>
      </c>
      <c r="Z9" s="128" t="s">
        <v>219</v>
      </c>
      <c r="AA9" s="238">
        <v>6</v>
      </c>
      <c r="AB9" s="238">
        <v>3</v>
      </c>
      <c r="AC9" s="234">
        <v>1</v>
      </c>
      <c r="AD9" s="234">
        <v>0</v>
      </c>
      <c r="AE9" s="234"/>
      <c r="AF9" s="234">
        <v>0</v>
      </c>
      <c r="AG9" s="234">
        <v>0</v>
      </c>
      <c r="AH9" s="234"/>
      <c r="AI9" s="230">
        <v>0</v>
      </c>
      <c r="AJ9" s="230">
        <v>0</v>
      </c>
      <c r="AK9" s="234">
        <v>0</v>
      </c>
      <c r="AL9" s="234">
        <v>0</v>
      </c>
      <c r="AM9" s="234">
        <v>0</v>
      </c>
      <c r="AN9" s="234">
        <v>1</v>
      </c>
      <c r="AO9" s="234">
        <v>1</v>
      </c>
      <c r="AP9" s="234">
        <v>1</v>
      </c>
      <c r="AQ9" s="235">
        <v>0</v>
      </c>
      <c r="AR9" s="235">
        <v>0</v>
      </c>
      <c r="AS9" s="235">
        <v>0</v>
      </c>
      <c r="AT9" s="128" t="s">
        <v>219</v>
      </c>
      <c r="AU9" s="238">
        <v>0</v>
      </c>
      <c r="AV9" s="238">
        <v>1</v>
      </c>
      <c r="AW9" s="234">
        <v>1</v>
      </c>
      <c r="AX9" s="234">
        <v>1</v>
      </c>
      <c r="AY9" s="230">
        <v>24</v>
      </c>
      <c r="AZ9" s="234">
        <v>0</v>
      </c>
      <c r="BA9" s="234">
        <v>0</v>
      </c>
      <c r="BB9" s="234"/>
      <c r="BC9" s="230">
        <v>1</v>
      </c>
      <c r="BD9" s="230">
        <v>0</v>
      </c>
      <c r="BE9" s="234">
        <v>0</v>
      </c>
      <c r="BF9" s="234">
        <v>0</v>
      </c>
      <c r="BG9" s="234">
        <v>0</v>
      </c>
      <c r="BH9" s="234">
        <v>1</v>
      </c>
      <c r="BI9" s="234">
        <v>1</v>
      </c>
      <c r="BJ9" s="234">
        <v>1</v>
      </c>
      <c r="BK9" s="235">
        <v>0</v>
      </c>
      <c r="BL9" s="235">
        <v>0</v>
      </c>
      <c r="BM9" s="215">
        <v>0</v>
      </c>
      <c r="BN9" s="319"/>
      <c r="BO9" s="129">
        <f>'PI - PPG'!BB7</f>
        <v>0</v>
      </c>
      <c r="BP9" s="91">
        <f t="shared" si="5"/>
      </c>
      <c r="BQ9" s="91">
        <f t="shared" si="6"/>
      </c>
      <c r="BR9" s="91">
        <f t="shared" si="7"/>
      </c>
      <c r="BS9" s="91">
        <f t="shared" si="8"/>
      </c>
      <c r="BT9" s="91">
        <f t="shared" si="9"/>
      </c>
      <c r="BU9" s="91">
        <f t="shared" si="10"/>
      </c>
      <c r="BV9" s="91">
        <f t="shared" si="11"/>
      </c>
      <c r="BW9" s="91">
        <f t="shared" si="12"/>
      </c>
      <c r="BX9" s="91">
        <f t="shared" si="13"/>
      </c>
      <c r="BY9" s="91">
        <f t="shared" si="14"/>
      </c>
      <c r="BZ9" s="91">
        <f t="shared" si="15"/>
      </c>
      <c r="CA9" s="91">
        <f t="shared" si="16"/>
      </c>
      <c r="CB9" s="91">
        <f t="shared" si="17"/>
      </c>
      <c r="CC9" s="91">
        <f t="shared" si="18"/>
      </c>
      <c r="CD9" s="91">
        <f t="shared" si="19"/>
      </c>
      <c r="CE9" s="91">
        <f t="shared" si="20"/>
      </c>
      <c r="CF9" s="91">
        <f t="shared" si="21"/>
      </c>
      <c r="CG9" s="91">
        <f t="shared" si="22"/>
      </c>
      <c r="CH9" s="91">
        <f t="shared" si="23"/>
      </c>
      <c r="CI9" s="119">
        <f t="shared" si="24"/>
      </c>
      <c r="CJ9" s="119">
        <f t="shared" si="25"/>
      </c>
      <c r="CK9" s="119">
        <f t="shared" si="26"/>
      </c>
      <c r="CL9" s="119">
        <f t="shared" si="27"/>
      </c>
      <c r="CM9" s="119">
        <f t="shared" si="28"/>
      </c>
      <c r="CN9" s="119">
        <f t="shared" si="29"/>
      </c>
      <c r="CO9" s="119">
        <f t="shared" si="30"/>
      </c>
      <c r="CP9" s="119">
        <f t="shared" si="31"/>
      </c>
      <c r="CQ9" s="119">
        <f t="shared" si="32"/>
      </c>
      <c r="CR9" s="119">
        <f t="shared" si="33"/>
      </c>
      <c r="CS9" s="119">
        <f t="shared" si="34"/>
      </c>
      <c r="CT9" s="119">
        <f t="shared" si="0"/>
      </c>
      <c r="CU9" s="119">
        <f t="shared" si="1"/>
      </c>
      <c r="CV9" s="119">
        <f t="shared" si="2"/>
      </c>
      <c r="CW9" s="119">
        <f t="shared" si="3"/>
      </c>
      <c r="CX9" s="119">
        <f t="shared" si="4"/>
      </c>
    </row>
    <row r="10" spans="1:102" ht="48" thickBot="1">
      <c r="A10" s="25" t="str">
        <f>IF('PI - PPG'!A8&lt;&gt;"",'PI - PPG'!A8,"")</f>
        <v>EF</v>
      </c>
      <c r="B10" s="25" t="str">
        <f>IF('PI - PPG'!B8&lt;&gt;"",'PI - PPG'!B8,"")</f>
        <v>UPE/PE</v>
      </c>
      <c r="C10" s="120" t="s">
        <v>128</v>
      </c>
      <c r="D10" s="85">
        <v>6</v>
      </c>
      <c r="E10" s="25" t="str">
        <f>IF('PI - PPG'!D8&lt;&gt;"",'PI - PPG'!D8,"")</f>
        <v>FERNANDO J. DE SÁ P. GUIMARÃES</v>
      </c>
      <c r="F10" s="128" t="str">
        <f>IF('PI - PPG'!E8&lt;&gt;"",'PI - PPG'!E8," ")</f>
        <v>C</v>
      </c>
      <c r="G10" s="237">
        <v>8</v>
      </c>
      <c r="H10" s="237">
        <v>0</v>
      </c>
      <c r="I10" s="232">
        <v>0</v>
      </c>
      <c r="J10" s="232">
        <v>0</v>
      </c>
      <c r="K10" s="232"/>
      <c r="L10" s="232">
        <v>0</v>
      </c>
      <c r="M10" s="232">
        <v>0</v>
      </c>
      <c r="N10" s="232"/>
      <c r="O10" s="230">
        <v>0</v>
      </c>
      <c r="P10" s="230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1</v>
      </c>
      <c r="W10" s="233">
        <v>0</v>
      </c>
      <c r="X10" s="233">
        <v>0</v>
      </c>
      <c r="Y10" s="233">
        <v>0</v>
      </c>
      <c r="Z10" s="128" t="str">
        <f>IF('PI - PPG'!U8&lt;&gt;"",'PI - PPG'!U8," ")</f>
        <v>C</v>
      </c>
      <c r="AA10" s="237">
        <v>9</v>
      </c>
      <c r="AB10" s="237">
        <v>0</v>
      </c>
      <c r="AC10" s="232">
        <v>1</v>
      </c>
      <c r="AD10" s="232">
        <v>0</v>
      </c>
      <c r="AE10" s="232"/>
      <c r="AF10" s="232">
        <v>0</v>
      </c>
      <c r="AG10" s="232">
        <v>0</v>
      </c>
      <c r="AH10" s="232"/>
      <c r="AI10" s="230">
        <v>0</v>
      </c>
      <c r="AJ10" s="230">
        <v>0</v>
      </c>
      <c r="AK10" s="232">
        <v>0</v>
      </c>
      <c r="AL10" s="232">
        <v>0</v>
      </c>
      <c r="AM10" s="232">
        <v>0</v>
      </c>
      <c r="AN10" s="232">
        <v>0</v>
      </c>
      <c r="AO10" s="232">
        <v>0</v>
      </c>
      <c r="AP10" s="232">
        <v>0</v>
      </c>
      <c r="AQ10" s="233">
        <v>0</v>
      </c>
      <c r="AR10" s="233">
        <v>0</v>
      </c>
      <c r="AS10" s="233">
        <v>0</v>
      </c>
      <c r="AT10" s="128" t="str">
        <f>IF('PI - PPG'!AK8&lt;&gt;"",'PI - PPG'!AK8," ")</f>
        <v>C</v>
      </c>
      <c r="AU10" s="237">
        <v>0</v>
      </c>
      <c r="AV10" s="237">
        <v>0</v>
      </c>
      <c r="AW10" s="232">
        <v>0</v>
      </c>
      <c r="AX10" s="232">
        <v>0</v>
      </c>
      <c r="AY10" s="232"/>
      <c r="AZ10" s="232">
        <v>0</v>
      </c>
      <c r="BA10" s="232">
        <v>0</v>
      </c>
      <c r="BB10" s="232"/>
      <c r="BC10" s="230">
        <v>0</v>
      </c>
      <c r="BD10" s="230">
        <v>0</v>
      </c>
      <c r="BE10" s="232">
        <v>0</v>
      </c>
      <c r="BF10" s="232">
        <v>0</v>
      </c>
      <c r="BG10" s="232">
        <v>0</v>
      </c>
      <c r="BH10" s="232">
        <v>0</v>
      </c>
      <c r="BI10" s="232">
        <v>0</v>
      </c>
      <c r="BJ10" s="232">
        <v>0</v>
      </c>
      <c r="BK10" s="233">
        <v>0</v>
      </c>
      <c r="BL10" s="233">
        <v>0</v>
      </c>
      <c r="BM10" s="97">
        <v>0</v>
      </c>
      <c r="BN10" s="319"/>
      <c r="BO10" s="129">
        <f>'PI - PPG'!BB8</f>
        <v>0</v>
      </c>
      <c r="BP10" s="91">
        <f t="shared" si="5"/>
      </c>
      <c r="BQ10" s="91">
        <f t="shared" si="6"/>
      </c>
      <c r="BR10" s="91">
        <f t="shared" si="7"/>
      </c>
      <c r="BS10" s="91">
        <f t="shared" si="8"/>
      </c>
      <c r="BT10" s="91">
        <f t="shared" si="9"/>
      </c>
      <c r="BU10" s="91">
        <f t="shared" si="10"/>
      </c>
      <c r="BV10" s="91">
        <f t="shared" si="11"/>
      </c>
      <c r="BW10" s="91">
        <f t="shared" si="12"/>
      </c>
      <c r="BX10" s="91">
        <f t="shared" si="13"/>
      </c>
      <c r="BY10" s="91">
        <f t="shared" si="14"/>
      </c>
      <c r="BZ10" s="91">
        <f t="shared" si="15"/>
      </c>
      <c r="CA10" s="91">
        <f t="shared" si="16"/>
      </c>
      <c r="CB10" s="91">
        <f t="shared" si="17"/>
      </c>
      <c r="CC10" s="91">
        <f t="shared" si="18"/>
      </c>
      <c r="CD10" s="91">
        <f t="shared" si="19"/>
      </c>
      <c r="CE10" s="91">
        <f t="shared" si="20"/>
      </c>
      <c r="CF10" s="91">
        <f t="shared" si="21"/>
      </c>
      <c r="CG10" s="91">
        <f t="shared" si="22"/>
      </c>
      <c r="CH10" s="91">
        <f t="shared" si="23"/>
      </c>
      <c r="CI10" s="119">
        <f t="shared" si="24"/>
      </c>
      <c r="CJ10" s="119">
        <f t="shared" si="25"/>
      </c>
      <c r="CK10" s="119">
        <f t="shared" si="26"/>
      </c>
      <c r="CL10" s="119">
        <f t="shared" si="27"/>
      </c>
      <c r="CM10" s="119">
        <f t="shared" si="28"/>
      </c>
      <c r="CN10" s="119">
        <f t="shared" si="29"/>
      </c>
      <c r="CO10" s="119">
        <f t="shared" si="30"/>
      </c>
      <c r="CP10" s="119">
        <f t="shared" si="31"/>
      </c>
      <c r="CQ10" s="119">
        <f t="shared" si="32"/>
      </c>
      <c r="CR10" s="119">
        <f t="shared" si="33"/>
      </c>
      <c r="CS10" s="119">
        <f t="shared" si="34"/>
      </c>
      <c r="CT10" s="119">
        <f t="shared" si="0"/>
      </c>
      <c r="CU10" s="119">
        <f t="shared" si="1"/>
      </c>
      <c r="CV10" s="119">
        <f t="shared" si="2"/>
      </c>
      <c r="CW10" s="119">
        <f t="shared" si="3"/>
      </c>
      <c r="CX10" s="119">
        <f t="shared" si="4"/>
      </c>
    </row>
    <row r="11" spans="1:102" ht="48" thickBot="1">
      <c r="A11" s="25" t="str">
        <f>IF('PI - PPG'!A9&lt;&gt;"",'PI - PPG'!A9,"")</f>
        <v>EF</v>
      </c>
      <c r="B11" s="25" t="str">
        <f>IF('PI - PPG'!B9&lt;&gt;"",'PI - PPG'!B9,"")</f>
        <v>UFPB/PB</v>
      </c>
      <c r="C11" s="120" t="s">
        <v>128</v>
      </c>
      <c r="D11" s="85">
        <v>7</v>
      </c>
      <c r="E11" s="25" t="str">
        <f>IF('PI - PPG'!D9&lt;&gt;"",'PI - PPG'!D9,"")</f>
        <v>IRAQUITAN DE OLIVEIRA CAMINHA</v>
      </c>
      <c r="F11" s="128" t="str">
        <f>IF('PI - PPG'!E9&lt;&gt;"",'PI - PPG'!E9," ")</f>
        <v>P</v>
      </c>
      <c r="G11" s="236">
        <v>7</v>
      </c>
      <c r="H11" s="236">
        <v>1</v>
      </c>
      <c r="I11" s="230">
        <v>2</v>
      </c>
      <c r="J11" s="230">
        <v>2</v>
      </c>
      <c r="K11" s="230">
        <v>24</v>
      </c>
      <c r="L11" s="230">
        <v>0</v>
      </c>
      <c r="M11" s="230">
        <v>0</v>
      </c>
      <c r="N11" s="230"/>
      <c r="O11" s="230">
        <v>2</v>
      </c>
      <c r="P11" s="230">
        <v>0</v>
      </c>
      <c r="Q11" s="230">
        <v>0</v>
      </c>
      <c r="R11" s="230">
        <v>0</v>
      </c>
      <c r="S11" s="230">
        <v>0</v>
      </c>
      <c r="T11" s="230">
        <v>2</v>
      </c>
      <c r="U11" s="230">
        <v>2</v>
      </c>
      <c r="V11" s="230">
        <v>2</v>
      </c>
      <c r="W11" s="231">
        <v>1</v>
      </c>
      <c r="X11" s="231">
        <v>0</v>
      </c>
      <c r="Y11" s="231">
        <v>0</v>
      </c>
      <c r="Z11" s="128" t="s">
        <v>32</v>
      </c>
      <c r="AA11" s="236">
        <v>1</v>
      </c>
      <c r="AB11" s="236">
        <v>1</v>
      </c>
      <c r="AC11" s="230">
        <v>2</v>
      </c>
      <c r="AD11" s="230">
        <v>2</v>
      </c>
      <c r="AE11" s="230">
        <v>24</v>
      </c>
      <c r="AF11" s="230">
        <v>0</v>
      </c>
      <c r="AG11" s="230">
        <v>0</v>
      </c>
      <c r="AH11" s="230"/>
      <c r="AI11" s="230">
        <v>2</v>
      </c>
      <c r="AJ11" s="230">
        <v>0</v>
      </c>
      <c r="AK11" s="230">
        <v>0</v>
      </c>
      <c r="AL11" s="230">
        <v>0</v>
      </c>
      <c r="AM11" s="230">
        <v>0</v>
      </c>
      <c r="AN11" s="230">
        <v>2</v>
      </c>
      <c r="AO11" s="230">
        <v>2</v>
      </c>
      <c r="AP11" s="230">
        <v>0</v>
      </c>
      <c r="AQ11" s="231">
        <v>3</v>
      </c>
      <c r="AR11" s="231">
        <v>0</v>
      </c>
      <c r="AS11" s="231">
        <v>0</v>
      </c>
      <c r="AT11" s="128" t="s">
        <v>32</v>
      </c>
      <c r="AU11" s="236">
        <v>2</v>
      </c>
      <c r="AV11" s="236">
        <v>2</v>
      </c>
      <c r="AW11" s="230">
        <v>4</v>
      </c>
      <c r="AX11" s="230">
        <v>0</v>
      </c>
      <c r="AY11" s="230">
        <v>24</v>
      </c>
      <c r="AZ11" s="230">
        <v>0</v>
      </c>
      <c r="BA11" s="230">
        <v>0</v>
      </c>
      <c r="BB11" s="230"/>
      <c r="BC11" s="230">
        <v>3</v>
      </c>
      <c r="BD11" s="230"/>
      <c r="BE11" s="230">
        <v>0</v>
      </c>
      <c r="BF11" s="230">
        <v>0</v>
      </c>
      <c r="BG11" s="230">
        <v>0</v>
      </c>
      <c r="BH11" s="230">
        <v>3</v>
      </c>
      <c r="BI11" s="230">
        <v>2</v>
      </c>
      <c r="BJ11" s="230">
        <v>0</v>
      </c>
      <c r="BK11" s="231">
        <v>0</v>
      </c>
      <c r="BL11" s="231">
        <v>0</v>
      </c>
      <c r="BM11" s="95">
        <v>0</v>
      </c>
      <c r="BN11" s="319"/>
      <c r="BO11" s="129">
        <f>'PI - PPG'!BB9</f>
        <v>3</v>
      </c>
      <c r="BP11" s="91">
        <f t="shared" si="5"/>
        <v>3.3333333333333335</v>
      </c>
      <c r="BQ11" s="91">
        <f t="shared" si="6"/>
        <v>1.3333333333333333</v>
      </c>
      <c r="BR11" s="91">
        <f t="shared" si="7"/>
        <v>2.6666666666666665</v>
      </c>
      <c r="BS11" s="91">
        <f t="shared" si="8"/>
        <v>1.3333333333333333</v>
      </c>
      <c r="BT11" s="91">
        <f t="shared" si="9"/>
        <v>24</v>
      </c>
      <c r="BU11" s="91">
        <f t="shared" si="10"/>
        <v>0</v>
      </c>
      <c r="BV11" s="91">
        <f t="shared" si="11"/>
        <v>0</v>
      </c>
      <c r="BW11" s="91" t="e">
        <f t="shared" si="12"/>
        <v>#DIV/0!</v>
      </c>
      <c r="BX11" s="91">
        <f t="shared" si="13"/>
        <v>2.3333333333333335</v>
      </c>
      <c r="BY11" s="91">
        <f t="shared" si="14"/>
        <v>0</v>
      </c>
      <c r="BZ11" s="91">
        <f t="shared" si="15"/>
        <v>0</v>
      </c>
      <c r="CA11" s="91">
        <f t="shared" si="16"/>
        <v>0</v>
      </c>
      <c r="CB11" s="91">
        <f t="shared" si="17"/>
        <v>0</v>
      </c>
      <c r="CC11" s="91">
        <f t="shared" si="18"/>
        <v>2.3333333333333335</v>
      </c>
      <c r="CD11" s="91">
        <f t="shared" si="19"/>
        <v>2</v>
      </c>
      <c r="CE11" s="91">
        <f t="shared" si="20"/>
        <v>0.6666666666666666</v>
      </c>
      <c r="CF11" s="91">
        <f t="shared" si="21"/>
        <v>1.3333333333333333</v>
      </c>
      <c r="CG11" s="91">
        <f t="shared" si="22"/>
        <v>0</v>
      </c>
      <c r="CH11" s="91">
        <f t="shared" si="23"/>
        <v>0</v>
      </c>
      <c r="CI11" s="119">
        <f t="shared" si="24"/>
        <v>3.3333333333333335</v>
      </c>
      <c r="CJ11" s="119">
        <f t="shared" si="25"/>
        <v>10</v>
      </c>
      <c r="CK11" s="119">
        <f t="shared" si="26"/>
        <v>1.3333333333333333</v>
      </c>
      <c r="CL11" s="119">
        <f t="shared" si="27"/>
        <v>2</v>
      </c>
      <c r="CM11" s="119">
        <f t="shared" si="28"/>
        <v>4</v>
      </c>
      <c r="CN11" s="119">
        <f t="shared" si="29"/>
        <v>8</v>
      </c>
      <c r="CO11" s="119">
        <f t="shared" si="30"/>
        <v>4</v>
      </c>
      <c r="CP11" s="119">
        <f t="shared" si="31"/>
        <v>0</v>
      </c>
      <c r="CQ11" s="119">
        <f t="shared" si="32"/>
        <v>0</v>
      </c>
      <c r="CR11" s="119">
        <f t="shared" si="33"/>
        <v>0</v>
      </c>
      <c r="CS11" s="119">
        <f t="shared" si="34"/>
        <v>2.3333333333333335</v>
      </c>
      <c r="CT11" s="119">
        <f t="shared" si="0"/>
        <v>0</v>
      </c>
      <c r="CU11" s="119">
        <f t="shared" si="1"/>
        <v>0</v>
      </c>
      <c r="CV11" s="119">
        <f t="shared" si="2"/>
        <v>7</v>
      </c>
      <c r="CW11" s="119">
        <f t="shared" si="3"/>
        <v>6</v>
      </c>
      <c r="CX11" s="119">
        <f t="shared" si="4"/>
        <v>2</v>
      </c>
    </row>
    <row r="12" spans="1:102" ht="32.25" thickBot="1">
      <c r="A12" s="25" t="str">
        <f>IF('PI - PPG'!A10&lt;&gt;"",'PI - PPG'!A10,"")</f>
        <v>EF</v>
      </c>
      <c r="B12" s="25" t="str">
        <f>IF('PI - PPG'!B10&lt;&gt;"",'PI - PPG'!B10,"")</f>
        <v>UFPB/PB</v>
      </c>
      <c r="C12" s="120" t="s">
        <v>128</v>
      </c>
      <c r="D12" s="85">
        <v>8</v>
      </c>
      <c r="E12" s="25" t="str">
        <f>IF('PI - PPG'!D10&lt;&gt;"",'PI - PPG'!D10,"")</f>
        <v>JOSÉ CAZUZA DE FARIAS JÚNIOR</v>
      </c>
      <c r="F12" s="128" t="str">
        <f>IF('PI - PPG'!E10&lt;&gt;"",'PI - PPG'!E10," ")</f>
        <v>P</v>
      </c>
      <c r="G12" s="236">
        <v>0</v>
      </c>
      <c r="H12" s="236">
        <v>0</v>
      </c>
      <c r="I12" s="230">
        <v>0</v>
      </c>
      <c r="J12" s="230">
        <v>0</v>
      </c>
      <c r="K12" s="230"/>
      <c r="L12" s="230">
        <v>0</v>
      </c>
      <c r="M12" s="230">
        <v>0</v>
      </c>
      <c r="N12" s="230"/>
      <c r="O12" s="230">
        <v>1</v>
      </c>
      <c r="P12" s="230">
        <v>0</v>
      </c>
      <c r="Q12" s="230">
        <v>0</v>
      </c>
      <c r="R12" s="230">
        <v>0</v>
      </c>
      <c r="S12" s="230">
        <v>0</v>
      </c>
      <c r="T12" s="230">
        <v>0</v>
      </c>
      <c r="U12" s="230">
        <v>0</v>
      </c>
      <c r="V12" s="230">
        <v>0</v>
      </c>
      <c r="W12" s="231">
        <v>0</v>
      </c>
      <c r="X12" s="231">
        <v>0</v>
      </c>
      <c r="Y12" s="231">
        <v>0</v>
      </c>
      <c r="Z12" s="128" t="s">
        <v>32</v>
      </c>
      <c r="AA12" s="236">
        <v>1</v>
      </c>
      <c r="AB12" s="236">
        <v>0</v>
      </c>
      <c r="AC12" s="230">
        <v>1</v>
      </c>
      <c r="AD12" s="230">
        <v>0</v>
      </c>
      <c r="AE12" s="230"/>
      <c r="AF12" s="230">
        <v>0</v>
      </c>
      <c r="AG12" s="230">
        <v>0</v>
      </c>
      <c r="AH12" s="230"/>
      <c r="AI12" s="230">
        <v>0</v>
      </c>
      <c r="AJ12" s="230">
        <v>0</v>
      </c>
      <c r="AK12" s="230">
        <v>0</v>
      </c>
      <c r="AL12" s="230">
        <v>0</v>
      </c>
      <c r="AM12" s="230">
        <v>0</v>
      </c>
      <c r="AN12" s="230">
        <v>1</v>
      </c>
      <c r="AO12" s="230">
        <v>0</v>
      </c>
      <c r="AP12" s="230">
        <v>1</v>
      </c>
      <c r="AQ12" s="231">
        <v>0</v>
      </c>
      <c r="AR12" s="231">
        <v>0</v>
      </c>
      <c r="AS12" s="231">
        <v>0</v>
      </c>
      <c r="AT12" s="128" t="s">
        <v>32</v>
      </c>
      <c r="AU12" s="236">
        <v>0</v>
      </c>
      <c r="AV12" s="236">
        <v>2</v>
      </c>
      <c r="AW12" s="230">
        <v>2</v>
      </c>
      <c r="AX12" s="230">
        <v>0</v>
      </c>
      <c r="AY12" s="230"/>
      <c r="AZ12" s="230">
        <v>0</v>
      </c>
      <c r="BA12" s="230">
        <v>0</v>
      </c>
      <c r="BB12" s="230"/>
      <c r="BC12" s="230">
        <v>1</v>
      </c>
      <c r="BD12" s="230">
        <v>0</v>
      </c>
      <c r="BE12" s="230">
        <v>0</v>
      </c>
      <c r="BF12" s="230">
        <v>0</v>
      </c>
      <c r="BG12" s="230">
        <v>2</v>
      </c>
      <c r="BH12" s="230">
        <v>2</v>
      </c>
      <c r="BI12" s="230">
        <v>1</v>
      </c>
      <c r="BJ12" s="230">
        <v>2</v>
      </c>
      <c r="BK12" s="231">
        <v>0</v>
      </c>
      <c r="BL12" s="231">
        <v>0</v>
      </c>
      <c r="BM12" s="95">
        <v>0</v>
      </c>
      <c r="BN12" s="319"/>
      <c r="BO12" s="129">
        <f>'PI - PPG'!BB10</f>
        <v>3</v>
      </c>
      <c r="BP12" s="91">
        <f t="shared" si="5"/>
        <v>0.3333333333333333</v>
      </c>
      <c r="BQ12" s="91">
        <f t="shared" si="6"/>
        <v>0.6666666666666666</v>
      </c>
      <c r="BR12" s="91">
        <f t="shared" si="7"/>
        <v>1</v>
      </c>
      <c r="BS12" s="91">
        <f t="shared" si="8"/>
        <v>0</v>
      </c>
      <c r="BT12" s="91" t="e">
        <f t="shared" si="9"/>
        <v>#DIV/0!</v>
      </c>
      <c r="BU12" s="91">
        <f t="shared" si="10"/>
        <v>0</v>
      </c>
      <c r="BV12" s="91">
        <f t="shared" si="11"/>
        <v>0</v>
      </c>
      <c r="BW12" s="91" t="e">
        <f t="shared" si="12"/>
        <v>#DIV/0!</v>
      </c>
      <c r="BX12" s="91">
        <f t="shared" si="13"/>
        <v>0.6666666666666666</v>
      </c>
      <c r="BY12" s="91">
        <f t="shared" si="14"/>
        <v>0</v>
      </c>
      <c r="BZ12" s="91">
        <f t="shared" si="15"/>
        <v>0</v>
      </c>
      <c r="CA12" s="91">
        <f t="shared" si="16"/>
        <v>0</v>
      </c>
      <c r="CB12" s="91">
        <f t="shared" si="17"/>
        <v>0.6666666666666666</v>
      </c>
      <c r="CC12" s="91">
        <f t="shared" si="18"/>
        <v>1</v>
      </c>
      <c r="CD12" s="91">
        <f t="shared" si="19"/>
        <v>0.3333333333333333</v>
      </c>
      <c r="CE12" s="91">
        <f t="shared" si="20"/>
        <v>1</v>
      </c>
      <c r="CF12" s="91">
        <f t="shared" si="21"/>
        <v>0</v>
      </c>
      <c r="CG12" s="91">
        <f t="shared" si="22"/>
        <v>0</v>
      </c>
      <c r="CH12" s="91">
        <f t="shared" si="23"/>
        <v>0</v>
      </c>
      <c r="CI12" s="119">
        <f t="shared" si="24"/>
        <v>0.3333333333333333</v>
      </c>
      <c r="CJ12" s="119">
        <f t="shared" si="25"/>
        <v>1</v>
      </c>
      <c r="CK12" s="119">
        <f t="shared" si="26"/>
        <v>0.6666666666666666</v>
      </c>
      <c r="CL12" s="119">
        <f t="shared" si="27"/>
        <v>0</v>
      </c>
      <c r="CM12" s="119">
        <f t="shared" si="28"/>
        <v>1</v>
      </c>
      <c r="CN12" s="119">
        <f t="shared" si="29"/>
        <v>3</v>
      </c>
      <c r="CO12" s="119">
        <f t="shared" si="30"/>
        <v>0</v>
      </c>
      <c r="CP12" s="119">
        <f t="shared" si="31"/>
        <v>0</v>
      </c>
      <c r="CQ12" s="119">
        <f t="shared" si="32"/>
        <v>0</v>
      </c>
      <c r="CR12" s="119">
        <f t="shared" si="33"/>
        <v>0</v>
      </c>
      <c r="CS12" s="119">
        <f t="shared" si="34"/>
        <v>0.6666666666666666</v>
      </c>
      <c r="CT12" s="119">
        <f t="shared" si="0"/>
        <v>0</v>
      </c>
      <c r="CU12" s="119">
        <f t="shared" si="1"/>
        <v>0</v>
      </c>
      <c r="CV12" s="119">
        <f t="shared" si="2"/>
        <v>3</v>
      </c>
      <c r="CW12" s="119">
        <f t="shared" si="3"/>
        <v>1</v>
      </c>
      <c r="CX12" s="119">
        <f t="shared" si="4"/>
        <v>3</v>
      </c>
    </row>
    <row r="13" spans="1:102" ht="32.25" thickBot="1">
      <c r="A13" s="25" t="str">
        <f>IF('PI - PPG'!A11&lt;&gt;"",'PI - PPG'!A11,"")</f>
        <v>EF</v>
      </c>
      <c r="B13" s="25" t="str">
        <f>IF('PI - PPG'!B11&lt;&gt;"",'PI - PPG'!B11,"")</f>
        <v>UPE/PE</v>
      </c>
      <c r="C13" s="120" t="s">
        <v>128</v>
      </c>
      <c r="D13" s="85">
        <v>9</v>
      </c>
      <c r="E13" s="25" t="str">
        <f>IF('PI - PPG'!D11&lt;&gt;"",'PI - PPG'!D11,"")</f>
        <v>MANOEL DA CUNHA COSTA</v>
      </c>
      <c r="F13" s="128" t="str">
        <f>IF('PI - PPG'!E11&lt;&gt;"",'PI - PPG'!E11," ")</f>
        <v>P</v>
      </c>
      <c r="G13" s="237">
        <v>1</v>
      </c>
      <c r="H13" s="237">
        <v>2</v>
      </c>
      <c r="I13" s="232">
        <v>2</v>
      </c>
      <c r="J13" s="232">
        <v>1</v>
      </c>
      <c r="K13" s="232">
        <v>23</v>
      </c>
      <c r="L13" s="232">
        <v>0</v>
      </c>
      <c r="M13" s="232">
        <v>0</v>
      </c>
      <c r="N13" s="232"/>
      <c r="O13" s="230">
        <v>2</v>
      </c>
      <c r="P13" s="230">
        <v>0</v>
      </c>
      <c r="Q13" s="232">
        <v>0</v>
      </c>
      <c r="R13" s="232">
        <v>0</v>
      </c>
      <c r="S13" s="232">
        <v>0</v>
      </c>
      <c r="T13" s="232">
        <v>1</v>
      </c>
      <c r="U13" s="232">
        <v>2</v>
      </c>
      <c r="V13" s="232">
        <v>2</v>
      </c>
      <c r="W13" s="233">
        <v>0</v>
      </c>
      <c r="X13" s="233">
        <v>0</v>
      </c>
      <c r="Y13" s="233">
        <v>0</v>
      </c>
      <c r="Z13" s="128" t="str">
        <f>IF('PI - PPG'!U11&lt;&gt;"",'PI - PPG'!U11," ")</f>
        <v>P</v>
      </c>
      <c r="AA13" s="237">
        <v>2</v>
      </c>
      <c r="AB13" s="237">
        <v>4</v>
      </c>
      <c r="AC13" s="232">
        <v>2</v>
      </c>
      <c r="AD13" s="232">
        <v>1</v>
      </c>
      <c r="AE13" s="232">
        <v>20</v>
      </c>
      <c r="AF13" s="232">
        <v>0</v>
      </c>
      <c r="AG13" s="232">
        <v>0</v>
      </c>
      <c r="AH13" s="232"/>
      <c r="AI13" s="230">
        <v>2</v>
      </c>
      <c r="AJ13" s="230">
        <v>0</v>
      </c>
      <c r="AK13" s="232">
        <v>1</v>
      </c>
      <c r="AL13" s="232">
        <v>0</v>
      </c>
      <c r="AM13" s="232">
        <v>0</v>
      </c>
      <c r="AN13" s="232">
        <v>1</v>
      </c>
      <c r="AO13" s="232">
        <v>2</v>
      </c>
      <c r="AP13" s="232">
        <v>2</v>
      </c>
      <c r="AQ13" s="233">
        <v>0</v>
      </c>
      <c r="AR13" s="233">
        <v>0</v>
      </c>
      <c r="AS13" s="233">
        <v>0</v>
      </c>
      <c r="AT13" s="128" t="str">
        <f>IF('PI - PPG'!AK11&lt;&gt;"",'PI - PPG'!AK11," ")</f>
        <v>P</v>
      </c>
      <c r="AU13" s="240">
        <v>1</v>
      </c>
      <c r="AV13" s="240">
        <v>4</v>
      </c>
      <c r="AW13" s="239">
        <v>2</v>
      </c>
      <c r="AX13" s="239"/>
      <c r="AY13" s="232"/>
      <c r="AZ13" s="232">
        <v>0</v>
      </c>
      <c r="BA13" s="232">
        <v>0</v>
      </c>
      <c r="BB13" s="232"/>
      <c r="BC13" s="232">
        <v>1</v>
      </c>
      <c r="BD13" s="230">
        <v>0</v>
      </c>
      <c r="BE13" s="239">
        <v>1</v>
      </c>
      <c r="BF13" s="232">
        <v>0</v>
      </c>
      <c r="BG13" s="232">
        <v>0</v>
      </c>
      <c r="BH13" s="239">
        <v>0</v>
      </c>
      <c r="BI13" s="239">
        <v>0</v>
      </c>
      <c r="BJ13" s="239">
        <v>2</v>
      </c>
      <c r="BK13" s="233">
        <v>0</v>
      </c>
      <c r="BL13" s="233">
        <v>0</v>
      </c>
      <c r="BM13" s="97">
        <v>0</v>
      </c>
      <c r="BN13" s="319"/>
      <c r="BO13" s="129">
        <f>'PI - PPG'!BB11</f>
        <v>3</v>
      </c>
      <c r="BP13" s="91">
        <f>IF(BO13&gt;0,SUM(G13,AA13,AU13)/COUNTA(G13,AA13,AU13),"")</f>
        <v>1.3333333333333333</v>
      </c>
      <c r="BQ13" s="91">
        <f>IF(BO13&gt;0,SUM(H13,AB13,AV13)/(COUNTA(H13,AB13,AV13)),"")</f>
        <v>3.3333333333333335</v>
      </c>
      <c r="BR13" s="91">
        <f>IF(BO13&gt;0,SUM(I13,AC13,AW13)/COUNTA(I13,AC13,AW13),"")</f>
        <v>2</v>
      </c>
      <c r="BS13" s="91">
        <f>IF(BO13&gt;0,SUM(J13,AD13,AX13)/COUNTA(J13,AD13,AX13),"")</f>
        <v>1</v>
      </c>
      <c r="BT13" s="91">
        <f>IF(BO13&gt;0,SUM(K13,AE13,AY13)/COUNTA(K13,AE13,AY13),"")</f>
        <v>21.5</v>
      </c>
      <c r="BU13" s="91">
        <f>IF(BO13&gt;0,SUM(L13,AF13,AZ13)/COUNTA(L13,AF13,AZ13),"")</f>
        <v>0</v>
      </c>
      <c r="BV13" s="91">
        <f>IF(BO13&gt;0,SUM(M13,AG13,BA13)/COUNTA(M13,AG13,BA13),"")</f>
        <v>0</v>
      </c>
      <c r="BW13" s="91" t="e">
        <f>IF(BO13&gt;0,SUM(N13,#REF!,AH13)/COUNTA(N13,#REF!,AH13),"")</f>
        <v>#REF!</v>
      </c>
      <c r="BX13" s="91">
        <f>IF(BO13&gt;0,SUM(O13,AI13,BC13)/COUNTA(O13,AI13,BC13),"")</f>
        <v>1.6666666666666667</v>
      </c>
      <c r="BY13" s="91">
        <f>IF(BO13&gt;0,SUM(P13,AJ13,BD13)/COUNTA(P13,AJ13,BD13),"")</f>
        <v>0</v>
      </c>
      <c r="BZ13" s="91">
        <f>IF(BO13&gt;0,SUM(Q13,AK13,BE13)/COUNTA(Q13,AK13,BE13),"")</f>
        <v>0.6666666666666666</v>
      </c>
      <c r="CA13" s="91">
        <f>IF(BO13&gt;0,SUM(R13,AL13,BF13)/COUNTA(R13,AL13,BF13),"")</f>
        <v>0</v>
      </c>
      <c r="CB13" s="91">
        <f>IF(BO13&gt;0,SUM(S13,AM13,BG13)/COUNTA(S13,AM13,BG13),"")</f>
        <v>0</v>
      </c>
      <c r="CC13" s="91">
        <f>IF(BO13&gt;0,SUM(T13,AN13,BH13)/COUNTA(T13,AN13,BH13),"")</f>
        <v>0.6666666666666666</v>
      </c>
      <c r="CD13" s="91">
        <f>IF(BO13&gt;0,SUM(U13,AO13,BI13)/COUNTA(U13,AO13,BI13),"")</f>
        <v>1.3333333333333333</v>
      </c>
      <c r="CE13" s="91">
        <f>IF(BO13&gt;0,SUM(V13,AP13,BJ13)/COUNTA(V13,AP13,BJ13),"")</f>
        <v>2</v>
      </c>
      <c r="CF13" s="91">
        <f t="shared" si="21"/>
        <v>0</v>
      </c>
      <c r="CG13" s="91">
        <f t="shared" si="22"/>
        <v>0</v>
      </c>
      <c r="CH13" s="91">
        <f t="shared" si="23"/>
        <v>0</v>
      </c>
      <c r="CI13" s="119">
        <f>BP13</f>
        <v>1.3333333333333333</v>
      </c>
      <c r="CJ13" s="119">
        <f>IF(BO13&gt;0,G13+AA13+AU13,"")</f>
        <v>4</v>
      </c>
      <c r="CK13" s="119">
        <f>BQ13</f>
        <v>3.3333333333333335</v>
      </c>
      <c r="CL13" s="119">
        <f>IF(BO13&gt;0,H13+AB13+AX13,"")</f>
        <v>6</v>
      </c>
      <c r="CM13" s="119">
        <f>IF(BO13&gt;0,BR13+CF13,"")</f>
        <v>2</v>
      </c>
      <c r="CN13" s="119">
        <f>IF(BO13&gt;0,I13+AC13+AW13,"")</f>
        <v>6</v>
      </c>
      <c r="CO13" s="119">
        <f>IF(BO13&gt;0,J13+AD13+AX13,"")</f>
        <v>2</v>
      </c>
      <c r="CP13" s="119">
        <f>IF(BO13&gt;0,BU13+CG13,"")</f>
        <v>0</v>
      </c>
      <c r="CQ13" s="119">
        <f>IF(BO13&gt;0,L13+AF13+AZ13,"")</f>
        <v>0</v>
      </c>
      <c r="CR13" s="119">
        <f>IF(BO13&gt;0,M13+AG13+BA13,"")</f>
        <v>0</v>
      </c>
      <c r="CS13" s="119">
        <f>IF(BO13&gt;0,SUM(BX13:BY13),"")</f>
        <v>1.6666666666666667</v>
      </c>
      <c r="CT13" s="119">
        <f>IF(BO13&gt;0,CA13+CH13,"")</f>
        <v>0</v>
      </c>
      <c r="CU13" s="119">
        <f>IF(BO13&gt;0,R13+AL13+BF13,"")</f>
        <v>0</v>
      </c>
      <c r="CV13" s="119">
        <f>IF(BO13&gt;0,T13+AN13+BH13,"")</f>
        <v>2</v>
      </c>
      <c r="CW13" s="119">
        <f>IF(BO13&gt;0,U13+AO13+BI13,"")</f>
        <v>4</v>
      </c>
      <c r="CX13" s="119">
        <f>IF(BO13&gt;0,V13+AP13+BJ13,"")</f>
        <v>6</v>
      </c>
    </row>
    <row r="14" spans="1:102" ht="48" thickBot="1">
      <c r="A14" s="25" t="str">
        <f>IF('PI - PPG'!A12&lt;&gt;"",'PI - PPG'!A12,"")</f>
        <v>EF</v>
      </c>
      <c r="B14" s="25" t="str">
        <f>IF('PI - PPG'!B12&lt;&gt;"",'PI - PPG'!B12,"")</f>
        <v>UPE/PE</v>
      </c>
      <c r="C14" s="120" t="s">
        <v>128</v>
      </c>
      <c r="D14" s="85">
        <v>10</v>
      </c>
      <c r="E14" s="25" t="str">
        <f>IF('PI - PPG'!D12&lt;&gt;"",'PI - PPG'!D12,"")</f>
        <v>MARCELO SOARES T. DE MELO</v>
      </c>
      <c r="F14" s="128" t="str">
        <f>IF('PI - PPG'!E12&lt;&gt;"",'PI - PPG'!E12," ")</f>
        <v>P</v>
      </c>
      <c r="G14" s="237">
        <v>7</v>
      </c>
      <c r="H14" s="237">
        <v>0</v>
      </c>
      <c r="I14" s="232">
        <v>0</v>
      </c>
      <c r="J14" s="232">
        <v>0</v>
      </c>
      <c r="K14" s="232"/>
      <c r="L14" s="232">
        <v>0</v>
      </c>
      <c r="M14" s="232">
        <v>0</v>
      </c>
      <c r="N14" s="232"/>
      <c r="O14" s="230">
        <v>0</v>
      </c>
      <c r="P14" s="230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3">
        <v>0</v>
      </c>
      <c r="X14" s="233">
        <v>0</v>
      </c>
      <c r="Y14" s="233">
        <v>0</v>
      </c>
      <c r="Z14" s="128" t="str">
        <f>IF('PI - PPG'!U12&lt;&gt;"",'PI - PPG'!U12," ")</f>
        <v>P</v>
      </c>
      <c r="AA14" s="237">
        <v>2</v>
      </c>
      <c r="AB14" s="237">
        <v>0</v>
      </c>
      <c r="AC14" s="232">
        <v>1</v>
      </c>
      <c r="AD14" s="232">
        <v>0</v>
      </c>
      <c r="AE14" s="232"/>
      <c r="AF14" s="232">
        <v>0</v>
      </c>
      <c r="AG14" s="232">
        <v>0</v>
      </c>
      <c r="AH14" s="232"/>
      <c r="AI14" s="230">
        <v>1</v>
      </c>
      <c r="AJ14" s="230">
        <v>0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3">
        <v>0</v>
      </c>
      <c r="AR14" s="233">
        <v>0</v>
      </c>
      <c r="AS14" s="233">
        <v>0</v>
      </c>
      <c r="AT14" s="128" t="str">
        <f>IF('PI - PPG'!AK12&lt;&gt;"",'PI - PPG'!AK12," ")</f>
        <v>P</v>
      </c>
      <c r="AU14" s="237">
        <v>3</v>
      </c>
      <c r="AV14" s="237">
        <v>2</v>
      </c>
      <c r="AW14" s="232">
        <v>2</v>
      </c>
      <c r="AX14" s="232">
        <v>0</v>
      </c>
      <c r="AY14" s="232"/>
      <c r="AZ14" s="232">
        <v>0</v>
      </c>
      <c r="BA14" s="232">
        <v>0</v>
      </c>
      <c r="BB14" s="232"/>
      <c r="BC14" s="232">
        <v>1</v>
      </c>
      <c r="BD14" s="230">
        <v>0</v>
      </c>
      <c r="BE14" s="232">
        <v>0</v>
      </c>
      <c r="BF14" s="232">
        <v>0</v>
      </c>
      <c r="BG14" s="232">
        <v>0</v>
      </c>
      <c r="BH14" s="232">
        <v>1</v>
      </c>
      <c r="BI14" s="232">
        <v>0</v>
      </c>
      <c r="BJ14" s="232">
        <v>2</v>
      </c>
      <c r="BK14" s="233">
        <v>0</v>
      </c>
      <c r="BL14" s="233">
        <v>0</v>
      </c>
      <c r="BM14" s="97">
        <v>0</v>
      </c>
      <c r="BN14" s="319"/>
      <c r="BO14" s="129">
        <f>'PI - PPG'!BB12</f>
        <v>3</v>
      </c>
      <c r="BP14" s="91">
        <f t="shared" si="5"/>
        <v>4</v>
      </c>
      <c r="BQ14" s="91">
        <f t="shared" si="6"/>
        <v>0.6666666666666666</v>
      </c>
      <c r="BR14" s="91">
        <f t="shared" si="7"/>
        <v>1</v>
      </c>
      <c r="BS14" s="91">
        <f t="shared" si="8"/>
        <v>0</v>
      </c>
      <c r="BT14" s="91" t="e">
        <f t="shared" si="9"/>
        <v>#DIV/0!</v>
      </c>
      <c r="BU14" s="91">
        <f t="shared" si="10"/>
        <v>0</v>
      </c>
      <c r="BV14" s="91">
        <f t="shared" si="11"/>
        <v>0</v>
      </c>
      <c r="BW14" s="91" t="e">
        <f t="shared" si="12"/>
        <v>#DIV/0!</v>
      </c>
      <c r="BX14" s="91">
        <f t="shared" si="13"/>
        <v>0.6666666666666666</v>
      </c>
      <c r="BY14" s="91">
        <f t="shared" si="14"/>
        <v>0</v>
      </c>
      <c r="BZ14" s="91">
        <f t="shared" si="15"/>
        <v>0</v>
      </c>
      <c r="CA14" s="91">
        <f t="shared" si="16"/>
        <v>0</v>
      </c>
      <c r="CB14" s="91">
        <f t="shared" si="17"/>
        <v>0</v>
      </c>
      <c r="CC14" s="91">
        <f t="shared" si="18"/>
        <v>0.3333333333333333</v>
      </c>
      <c r="CD14" s="91">
        <f t="shared" si="19"/>
        <v>0</v>
      </c>
      <c r="CE14" s="91">
        <f t="shared" si="20"/>
        <v>0.6666666666666666</v>
      </c>
      <c r="CF14" s="91">
        <f t="shared" si="21"/>
        <v>0</v>
      </c>
      <c r="CG14" s="91">
        <f t="shared" si="22"/>
        <v>0</v>
      </c>
      <c r="CH14" s="91">
        <f t="shared" si="23"/>
        <v>0</v>
      </c>
      <c r="CI14" s="119">
        <f t="shared" si="24"/>
        <v>4</v>
      </c>
      <c r="CJ14" s="119">
        <f t="shared" si="25"/>
        <v>12</v>
      </c>
      <c r="CK14" s="119">
        <f t="shared" si="26"/>
        <v>0.6666666666666666</v>
      </c>
      <c r="CL14" s="119">
        <f t="shared" si="27"/>
        <v>0</v>
      </c>
      <c r="CM14" s="119">
        <f t="shared" si="28"/>
        <v>1</v>
      </c>
      <c r="CN14" s="119">
        <f t="shared" si="29"/>
        <v>3</v>
      </c>
      <c r="CO14" s="119">
        <f t="shared" si="30"/>
        <v>0</v>
      </c>
      <c r="CP14" s="119">
        <f t="shared" si="31"/>
        <v>0</v>
      </c>
      <c r="CQ14" s="119">
        <f t="shared" si="32"/>
        <v>0</v>
      </c>
      <c r="CR14" s="119">
        <f t="shared" si="33"/>
        <v>0</v>
      </c>
      <c r="CS14" s="119">
        <f t="shared" si="34"/>
        <v>0.6666666666666666</v>
      </c>
      <c r="CT14" s="119">
        <f t="shared" si="0"/>
        <v>0</v>
      </c>
      <c r="CU14" s="119">
        <f t="shared" si="1"/>
        <v>0</v>
      </c>
      <c r="CV14" s="119">
        <f t="shared" si="2"/>
        <v>1</v>
      </c>
      <c r="CW14" s="119">
        <f t="shared" si="3"/>
        <v>0</v>
      </c>
      <c r="CX14" s="119">
        <f t="shared" si="4"/>
        <v>2</v>
      </c>
    </row>
    <row r="15" spans="1:102" ht="48" thickBot="1">
      <c r="A15" s="25" t="str">
        <f>IF('PI - PPG'!A13&lt;&gt;"",'PI - PPG'!A13,"")</f>
        <v>EF</v>
      </c>
      <c r="B15" s="25" t="str">
        <f>IF('PI - PPG'!B13&lt;&gt;"",'PI - PPG'!B13,"")</f>
        <v>UPE/PE</v>
      </c>
      <c r="C15" s="120" t="s">
        <v>128</v>
      </c>
      <c r="D15" s="85">
        <v>11</v>
      </c>
      <c r="E15" s="25" t="str">
        <f>IF('PI - PPG'!D13&lt;&gt;"",'PI - PPG'!D13,"")</f>
        <v>MARCÍLIO B. M. DE SOUZA JÚNIOR</v>
      </c>
      <c r="F15" s="128" t="str">
        <f>IF('PI - PPG'!E13&lt;&gt;"",'PI - PPG'!E13," ")</f>
        <v>P</v>
      </c>
      <c r="G15" s="237">
        <v>4</v>
      </c>
      <c r="H15" s="237">
        <v>0</v>
      </c>
      <c r="I15" s="232">
        <v>2</v>
      </c>
      <c r="J15" s="232">
        <v>1</v>
      </c>
      <c r="K15" s="232">
        <v>24</v>
      </c>
      <c r="L15" s="232">
        <v>0</v>
      </c>
      <c r="M15" s="232">
        <v>0</v>
      </c>
      <c r="N15" s="232"/>
      <c r="O15" s="230">
        <v>0</v>
      </c>
      <c r="P15" s="230">
        <v>0</v>
      </c>
      <c r="Q15" s="232">
        <v>0</v>
      </c>
      <c r="R15" s="232">
        <v>0</v>
      </c>
      <c r="S15" s="232">
        <v>1</v>
      </c>
      <c r="T15" s="232">
        <v>1</v>
      </c>
      <c r="U15" s="232">
        <v>0</v>
      </c>
      <c r="V15" s="232">
        <v>3</v>
      </c>
      <c r="W15" s="233">
        <v>0</v>
      </c>
      <c r="X15" s="233">
        <v>0</v>
      </c>
      <c r="Y15" s="233">
        <v>0</v>
      </c>
      <c r="Z15" s="128" t="str">
        <f>IF('PI - PPG'!U13&lt;&gt;"",'PI - PPG'!U13," ")</f>
        <v>P</v>
      </c>
      <c r="AA15" s="237">
        <v>0</v>
      </c>
      <c r="AB15" s="237">
        <v>1</v>
      </c>
      <c r="AC15" s="232">
        <v>4</v>
      </c>
      <c r="AD15" s="232">
        <v>1</v>
      </c>
      <c r="AE15" s="232">
        <v>24</v>
      </c>
      <c r="AF15" s="232">
        <v>0</v>
      </c>
      <c r="AG15" s="232">
        <v>0</v>
      </c>
      <c r="AH15" s="232"/>
      <c r="AI15" s="230">
        <v>3</v>
      </c>
      <c r="AJ15" s="230">
        <v>0</v>
      </c>
      <c r="AK15" s="232">
        <v>0</v>
      </c>
      <c r="AL15" s="232">
        <v>0</v>
      </c>
      <c r="AM15" s="232">
        <v>0</v>
      </c>
      <c r="AN15" s="232">
        <v>0</v>
      </c>
      <c r="AO15" s="232">
        <v>1</v>
      </c>
      <c r="AP15" s="232">
        <v>4</v>
      </c>
      <c r="AQ15" s="233">
        <v>0</v>
      </c>
      <c r="AR15" s="233">
        <v>0</v>
      </c>
      <c r="AS15" s="233">
        <v>0</v>
      </c>
      <c r="AT15" s="128" t="str">
        <f>IF('PI - PPG'!AK13&lt;&gt;"",'PI - PPG'!AK13," ")</f>
        <v>P</v>
      </c>
      <c r="AU15" s="237">
        <v>3</v>
      </c>
      <c r="AV15" s="237">
        <v>4</v>
      </c>
      <c r="AW15" s="232">
        <v>4</v>
      </c>
      <c r="AX15" s="232">
        <v>1</v>
      </c>
      <c r="AY15" s="232">
        <v>24</v>
      </c>
      <c r="AZ15" s="232">
        <v>0</v>
      </c>
      <c r="BA15" s="232">
        <v>0</v>
      </c>
      <c r="BB15" s="232"/>
      <c r="BC15" s="230">
        <v>4</v>
      </c>
      <c r="BD15" s="230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1</v>
      </c>
      <c r="BJ15" s="232">
        <v>4</v>
      </c>
      <c r="BK15" s="233">
        <v>0</v>
      </c>
      <c r="BL15" s="233">
        <v>0</v>
      </c>
      <c r="BM15" s="97">
        <v>0</v>
      </c>
      <c r="BN15" s="319"/>
      <c r="BO15" s="129">
        <f>'PI - PPG'!BB13</f>
        <v>3</v>
      </c>
      <c r="BP15" s="91">
        <f t="shared" si="5"/>
        <v>2.3333333333333335</v>
      </c>
      <c r="BQ15" s="91">
        <f t="shared" si="6"/>
        <v>1.6666666666666667</v>
      </c>
      <c r="BR15" s="91">
        <f t="shared" si="7"/>
        <v>3.3333333333333335</v>
      </c>
      <c r="BS15" s="91">
        <f t="shared" si="8"/>
        <v>1</v>
      </c>
      <c r="BT15" s="91">
        <f t="shared" si="9"/>
        <v>24</v>
      </c>
      <c r="BU15" s="91">
        <f t="shared" si="10"/>
        <v>0</v>
      </c>
      <c r="BV15" s="91">
        <f t="shared" si="11"/>
        <v>0</v>
      </c>
      <c r="BW15" s="91" t="e">
        <f t="shared" si="12"/>
        <v>#DIV/0!</v>
      </c>
      <c r="BX15" s="91">
        <f t="shared" si="13"/>
        <v>2.3333333333333335</v>
      </c>
      <c r="BY15" s="91">
        <f t="shared" si="14"/>
        <v>0</v>
      </c>
      <c r="BZ15" s="91">
        <f t="shared" si="15"/>
        <v>0</v>
      </c>
      <c r="CA15" s="91">
        <f t="shared" si="16"/>
        <v>0</v>
      </c>
      <c r="CB15" s="91">
        <f t="shared" si="17"/>
        <v>0.3333333333333333</v>
      </c>
      <c r="CC15" s="91">
        <f t="shared" si="18"/>
        <v>0.3333333333333333</v>
      </c>
      <c r="CD15" s="91">
        <f t="shared" si="19"/>
        <v>0.6666666666666666</v>
      </c>
      <c r="CE15" s="91">
        <f t="shared" si="20"/>
        <v>3.6666666666666665</v>
      </c>
      <c r="CF15" s="91">
        <f t="shared" si="21"/>
        <v>0</v>
      </c>
      <c r="CG15" s="91">
        <f t="shared" si="22"/>
        <v>0</v>
      </c>
      <c r="CH15" s="91">
        <f t="shared" si="23"/>
        <v>0</v>
      </c>
      <c r="CI15" s="119">
        <f t="shared" si="24"/>
        <v>2.3333333333333335</v>
      </c>
      <c r="CJ15" s="119">
        <f t="shared" si="25"/>
        <v>7</v>
      </c>
      <c r="CK15" s="119">
        <f t="shared" si="26"/>
        <v>1.6666666666666667</v>
      </c>
      <c r="CL15" s="119">
        <f t="shared" si="27"/>
        <v>2</v>
      </c>
      <c r="CM15" s="119">
        <f t="shared" si="28"/>
        <v>3.3333333333333335</v>
      </c>
      <c r="CN15" s="119">
        <f t="shared" si="29"/>
        <v>10</v>
      </c>
      <c r="CO15" s="119">
        <f t="shared" si="30"/>
        <v>3</v>
      </c>
      <c r="CP15" s="119">
        <f t="shared" si="31"/>
        <v>0</v>
      </c>
      <c r="CQ15" s="119">
        <f t="shared" si="32"/>
        <v>0</v>
      </c>
      <c r="CR15" s="119">
        <f t="shared" si="33"/>
        <v>0</v>
      </c>
      <c r="CS15" s="119">
        <f t="shared" si="34"/>
        <v>2.3333333333333335</v>
      </c>
      <c r="CT15" s="119">
        <f t="shared" si="0"/>
        <v>0</v>
      </c>
      <c r="CU15" s="119">
        <f t="shared" si="1"/>
        <v>0</v>
      </c>
      <c r="CV15" s="119">
        <f t="shared" si="2"/>
        <v>1</v>
      </c>
      <c r="CW15" s="119">
        <f t="shared" si="3"/>
        <v>2</v>
      </c>
      <c r="CX15" s="119">
        <f t="shared" si="4"/>
        <v>11</v>
      </c>
    </row>
    <row r="16" spans="1:102" ht="15.75" customHeight="1" thickBot="1">
      <c r="A16" s="25" t="str">
        <f>IF('PI - PPG'!A14&lt;&gt;"",'PI - PPG'!A14,"")</f>
        <v>EF</v>
      </c>
      <c r="B16" s="25" t="str">
        <f>IF('PI - PPG'!B14&lt;&gt;"",'PI - PPG'!B14,"")</f>
        <v>UFPB/PB</v>
      </c>
      <c r="C16" s="120" t="s">
        <v>128</v>
      </c>
      <c r="D16" s="85">
        <v>12</v>
      </c>
      <c r="E16" s="25" t="str">
        <f>IF('PI - PPG'!D14&lt;&gt;"",'PI - PPG'!D14,"")</f>
        <v>MARIA S. BRASILEIRO SANTOS</v>
      </c>
      <c r="F16" s="128" t="s">
        <v>32</v>
      </c>
      <c r="G16" s="238">
        <v>1</v>
      </c>
      <c r="H16" s="238">
        <v>1</v>
      </c>
      <c r="I16" s="234">
        <v>1</v>
      </c>
      <c r="J16" s="234">
        <v>0</v>
      </c>
      <c r="K16" s="230"/>
      <c r="L16" s="234">
        <v>0</v>
      </c>
      <c r="M16" s="234">
        <v>0</v>
      </c>
      <c r="N16" s="234"/>
      <c r="O16" s="230">
        <v>1</v>
      </c>
      <c r="P16" s="230">
        <v>0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1</v>
      </c>
      <c r="W16" s="235">
        <v>1</v>
      </c>
      <c r="X16" s="235">
        <v>0</v>
      </c>
      <c r="Y16" s="235">
        <v>0</v>
      </c>
      <c r="Z16" s="128" t="s">
        <v>32</v>
      </c>
      <c r="AA16" s="238">
        <v>1</v>
      </c>
      <c r="AB16" s="238">
        <v>3</v>
      </c>
      <c r="AC16" s="234">
        <v>1</v>
      </c>
      <c r="AD16" s="234">
        <v>0</v>
      </c>
      <c r="AE16" s="234"/>
      <c r="AF16" s="234">
        <v>0</v>
      </c>
      <c r="AG16" s="234">
        <v>0</v>
      </c>
      <c r="AH16" s="234"/>
      <c r="AI16" s="230">
        <v>0</v>
      </c>
      <c r="AJ16" s="230">
        <v>0</v>
      </c>
      <c r="AK16" s="234">
        <v>0</v>
      </c>
      <c r="AL16" s="234">
        <v>0</v>
      </c>
      <c r="AM16" s="234">
        <v>0</v>
      </c>
      <c r="AN16" s="234">
        <v>0</v>
      </c>
      <c r="AO16" s="234">
        <v>0</v>
      </c>
      <c r="AP16" s="234">
        <v>0</v>
      </c>
      <c r="AQ16" s="235">
        <v>0</v>
      </c>
      <c r="AR16" s="235">
        <v>0</v>
      </c>
      <c r="AS16" s="235">
        <v>0</v>
      </c>
      <c r="AT16" s="128" t="s">
        <v>32</v>
      </c>
      <c r="AU16" s="238">
        <v>0</v>
      </c>
      <c r="AV16" s="238">
        <v>0</v>
      </c>
      <c r="AW16" s="234">
        <v>0</v>
      </c>
      <c r="AX16" s="234">
        <v>0</v>
      </c>
      <c r="AY16" s="230">
        <v>24</v>
      </c>
      <c r="AZ16" s="234">
        <v>0</v>
      </c>
      <c r="BA16" s="234">
        <v>0</v>
      </c>
      <c r="BB16" s="234"/>
      <c r="BC16" s="230">
        <v>2</v>
      </c>
      <c r="BD16" s="230">
        <v>0</v>
      </c>
      <c r="BE16" s="234">
        <v>0</v>
      </c>
      <c r="BF16" s="234">
        <v>0</v>
      </c>
      <c r="BG16" s="234">
        <v>0</v>
      </c>
      <c r="BH16" s="234">
        <v>1</v>
      </c>
      <c r="BI16" s="234">
        <v>0</v>
      </c>
      <c r="BJ16" s="234">
        <v>2</v>
      </c>
      <c r="BK16" s="235">
        <v>0</v>
      </c>
      <c r="BL16" s="235">
        <v>0</v>
      </c>
      <c r="BM16" s="215">
        <v>0</v>
      </c>
      <c r="BN16" s="319"/>
      <c r="BO16" s="129">
        <f>'PI - PPG'!BB14</f>
        <v>3</v>
      </c>
      <c r="BP16" s="91">
        <f t="shared" si="5"/>
        <v>0.6666666666666666</v>
      </c>
      <c r="BQ16" s="91">
        <f t="shared" si="6"/>
        <v>1.3333333333333333</v>
      </c>
      <c r="BR16" s="91">
        <f t="shared" si="7"/>
        <v>0.6666666666666666</v>
      </c>
      <c r="BS16" s="91">
        <f t="shared" si="8"/>
        <v>0</v>
      </c>
      <c r="BT16" s="91">
        <f t="shared" si="9"/>
        <v>24</v>
      </c>
      <c r="BU16" s="91">
        <f t="shared" si="10"/>
        <v>0</v>
      </c>
      <c r="BV16" s="91">
        <f t="shared" si="11"/>
        <v>0</v>
      </c>
      <c r="BW16" s="91" t="e">
        <f t="shared" si="12"/>
        <v>#DIV/0!</v>
      </c>
      <c r="BX16" s="91">
        <f t="shared" si="13"/>
        <v>1</v>
      </c>
      <c r="BY16" s="91">
        <f t="shared" si="14"/>
        <v>0</v>
      </c>
      <c r="BZ16" s="91">
        <f t="shared" si="15"/>
        <v>0</v>
      </c>
      <c r="CA16" s="91">
        <f t="shared" si="16"/>
        <v>0</v>
      </c>
      <c r="CB16" s="91">
        <f t="shared" si="17"/>
        <v>0</v>
      </c>
      <c r="CC16" s="91">
        <f t="shared" si="18"/>
        <v>0.3333333333333333</v>
      </c>
      <c r="CD16" s="91">
        <f t="shared" si="19"/>
        <v>0</v>
      </c>
      <c r="CE16" s="91">
        <f t="shared" si="20"/>
        <v>1</v>
      </c>
      <c r="CF16" s="91">
        <f t="shared" si="21"/>
        <v>0.3333333333333333</v>
      </c>
      <c r="CG16" s="91">
        <f t="shared" si="22"/>
        <v>0</v>
      </c>
      <c r="CH16" s="91">
        <f t="shared" si="23"/>
        <v>0</v>
      </c>
      <c r="CI16" s="119">
        <f t="shared" si="24"/>
        <v>0.6666666666666666</v>
      </c>
      <c r="CJ16" s="119">
        <f t="shared" si="25"/>
        <v>2</v>
      </c>
      <c r="CK16" s="119">
        <f t="shared" si="26"/>
        <v>1.3333333333333333</v>
      </c>
      <c r="CL16" s="119">
        <f t="shared" si="27"/>
        <v>4</v>
      </c>
      <c r="CM16" s="119">
        <f t="shared" si="28"/>
        <v>1</v>
      </c>
      <c r="CN16" s="119">
        <f t="shared" si="29"/>
        <v>2</v>
      </c>
      <c r="CO16" s="119">
        <f t="shared" si="30"/>
        <v>0</v>
      </c>
      <c r="CP16" s="119">
        <f t="shared" si="31"/>
        <v>0</v>
      </c>
      <c r="CQ16" s="119">
        <f t="shared" si="32"/>
        <v>0</v>
      </c>
      <c r="CR16" s="119">
        <f t="shared" si="33"/>
        <v>0</v>
      </c>
      <c r="CS16" s="119">
        <f t="shared" si="34"/>
        <v>1</v>
      </c>
      <c r="CT16" s="119">
        <f t="shared" si="0"/>
        <v>0</v>
      </c>
      <c r="CU16" s="119">
        <f t="shared" si="1"/>
        <v>0</v>
      </c>
      <c r="CV16" s="119">
        <f t="shared" si="2"/>
        <v>1</v>
      </c>
      <c r="CW16" s="119">
        <f t="shared" si="3"/>
        <v>0</v>
      </c>
      <c r="CX16" s="119">
        <f t="shared" si="4"/>
        <v>3</v>
      </c>
    </row>
    <row r="17" spans="1:102" ht="32.25" thickBot="1">
      <c r="A17" s="25" t="str">
        <f>IF('PI - PPG'!A15&lt;&gt;"",'PI - PPG'!A15,"")</f>
        <v>EF</v>
      </c>
      <c r="B17" s="25" t="str">
        <f>IF('PI - PPG'!B15&lt;&gt;"",'PI - PPG'!B15,"")</f>
        <v>UFPB/PB</v>
      </c>
      <c r="C17" s="120" t="s">
        <v>128</v>
      </c>
      <c r="D17" s="85">
        <v>13</v>
      </c>
      <c r="E17" s="25" t="str">
        <f>IF('PI - PPG'!D15&lt;&gt;"",'PI - PPG'!D15,"")</f>
        <v>MARIA S. CIRILO DE SOUZA</v>
      </c>
      <c r="F17" s="128" t="str">
        <f>IF('PI - PPG'!E15&lt;&gt;"",'PI - PPG'!E15," ")</f>
        <v>P</v>
      </c>
      <c r="G17" s="238">
        <v>1</v>
      </c>
      <c r="H17" s="238">
        <v>5</v>
      </c>
      <c r="I17" s="234">
        <v>2</v>
      </c>
      <c r="J17" s="234">
        <v>1</v>
      </c>
      <c r="K17" s="230">
        <v>24</v>
      </c>
      <c r="L17" s="234">
        <v>0</v>
      </c>
      <c r="M17" s="234">
        <v>0</v>
      </c>
      <c r="N17" s="234"/>
      <c r="O17" s="230">
        <v>2</v>
      </c>
      <c r="P17" s="230">
        <v>0</v>
      </c>
      <c r="Q17" s="234">
        <v>0</v>
      </c>
      <c r="R17" s="234">
        <v>0</v>
      </c>
      <c r="S17" s="234">
        <v>0</v>
      </c>
      <c r="T17" s="234">
        <v>2</v>
      </c>
      <c r="U17" s="234">
        <v>2</v>
      </c>
      <c r="V17" s="234">
        <v>0</v>
      </c>
      <c r="W17" s="235">
        <v>0</v>
      </c>
      <c r="X17" s="235">
        <v>0</v>
      </c>
      <c r="Y17" s="235">
        <v>0</v>
      </c>
      <c r="Z17" s="128" t="s">
        <v>309</v>
      </c>
      <c r="AA17" s="238">
        <v>4</v>
      </c>
      <c r="AB17" s="238">
        <v>5</v>
      </c>
      <c r="AC17" s="234">
        <v>2</v>
      </c>
      <c r="AD17" s="234">
        <v>1</v>
      </c>
      <c r="AE17" s="234">
        <v>24</v>
      </c>
      <c r="AF17" s="234">
        <v>0</v>
      </c>
      <c r="AG17" s="234">
        <v>0</v>
      </c>
      <c r="AH17" s="234"/>
      <c r="AI17" s="230">
        <v>2</v>
      </c>
      <c r="AJ17" s="230">
        <v>0</v>
      </c>
      <c r="AK17" s="234">
        <v>0</v>
      </c>
      <c r="AL17" s="234">
        <v>0</v>
      </c>
      <c r="AM17" s="234">
        <v>0</v>
      </c>
      <c r="AN17" s="234">
        <v>1</v>
      </c>
      <c r="AO17" s="234">
        <v>0</v>
      </c>
      <c r="AP17" s="234">
        <v>0</v>
      </c>
      <c r="AQ17" s="235">
        <v>0</v>
      </c>
      <c r="AR17" s="235">
        <v>0</v>
      </c>
      <c r="AS17" s="235">
        <v>0</v>
      </c>
      <c r="AT17" s="128" t="s">
        <v>309</v>
      </c>
      <c r="AU17" s="238">
        <v>1</v>
      </c>
      <c r="AV17" s="238">
        <v>5</v>
      </c>
      <c r="AW17" s="234">
        <v>2</v>
      </c>
      <c r="AX17" s="234">
        <v>1</v>
      </c>
      <c r="AY17" s="230">
        <v>24</v>
      </c>
      <c r="AZ17" s="234">
        <v>0</v>
      </c>
      <c r="BA17" s="234">
        <v>0</v>
      </c>
      <c r="BB17" s="234"/>
      <c r="BC17" s="230">
        <v>3</v>
      </c>
      <c r="BD17" s="230">
        <v>0</v>
      </c>
      <c r="BE17" s="234">
        <v>0</v>
      </c>
      <c r="BF17" s="234">
        <v>0</v>
      </c>
      <c r="BG17" s="234">
        <v>0</v>
      </c>
      <c r="BH17" s="234">
        <v>0</v>
      </c>
      <c r="BI17" s="234">
        <v>0</v>
      </c>
      <c r="BJ17" s="234">
        <v>0</v>
      </c>
      <c r="BK17" s="235">
        <v>0</v>
      </c>
      <c r="BL17" s="235">
        <v>0</v>
      </c>
      <c r="BM17" s="215">
        <v>0</v>
      </c>
      <c r="BN17" s="319"/>
      <c r="BO17" s="129">
        <f>'PI - PPG'!BB15</f>
        <v>3</v>
      </c>
      <c r="BP17" s="91">
        <f t="shared" si="5"/>
        <v>2</v>
      </c>
      <c r="BQ17" s="91">
        <f t="shared" si="6"/>
        <v>5</v>
      </c>
      <c r="BR17" s="91">
        <f t="shared" si="7"/>
        <v>2</v>
      </c>
      <c r="BS17" s="91">
        <f t="shared" si="8"/>
        <v>1</v>
      </c>
      <c r="BT17" s="91">
        <f t="shared" si="9"/>
        <v>24</v>
      </c>
      <c r="BU17" s="91">
        <f t="shared" si="10"/>
        <v>0</v>
      </c>
      <c r="BV17" s="91">
        <f t="shared" si="11"/>
        <v>0</v>
      </c>
      <c r="BW17" s="91" t="e">
        <f t="shared" si="12"/>
        <v>#DIV/0!</v>
      </c>
      <c r="BX17" s="91">
        <f t="shared" si="13"/>
        <v>2.3333333333333335</v>
      </c>
      <c r="BY17" s="91">
        <f t="shared" si="14"/>
        <v>0</v>
      </c>
      <c r="BZ17" s="91">
        <f t="shared" si="15"/>
        <v>0</v>
      </c>
      <c r="CA17" s="91">
        <f t="shared" si="16"/>
        <v>0</v>
      </c>
      <c r="CB17" s="91">
        <f t="shared" si="17"/>
        <v>0</v>
      </c>
      <c r="CC17" s="91">
        <f t="shared" si="18"/>
        <v>1</v>
      </c>
      <c r="CD17" s="91">
        <f t="shared" si="19"/>
        <v>0.6666666666666666</v>
      </c>
      <c r="CE17" s="91">
        <f t="shared" si="20"/>
        <v>0</v>
      </c>
      <c r="CF17" s="91">
        <f t="shared" si="21"/>
        <v>0</v>
      </c>
      <c r="CG17" s="91">
        <f t="shared" si="22"/>
        <v>0</v>
      </c>
      <c r="CH17" s="91">
        <f t="shared" si="23"/>
        <v>0</v>
      </c>
      <c r="CI17" s="119">
        <f t="shared" si="24"/>
        <v>2</v>
      </c>
      <c r="CJ17" s="119">
        <f t="shared" si="25"/>
        <v>6</v>
      </c>
      <c r="CK17" s="119">
        <f t="shared" si="26"/>
        <v>5</v>
      </c>
      <c r="CL17" s="119">
        <f t="shared" si="27"/>
        <v>11</v>
      </c>
      <c r="CM17" s="119">
        <f t="shared" si="28"/>
        <v>2</v>
      </c>
      <c r="CN17" s="119">
        <f t="shared" si="29"/>
        <v>6</v>
      </c>
      <c r="CO17" s="119">
        <f t="shared" si="30"/>
        <v>3</v>
      </c>
      <c r="CP17" s="119">
        <f t="shared" si="31"/>
        <v>0</v>
      </c>
      <c r="CQ17" s="119">
        <f t="shared" si="32"/>
        <v>0</v>
      </c>
      <c r="CR17" s="119">
        <f t="shared" si="33"/>
        <v>0</v>
      </c>
      <c r="CS17" s="119">
        <f t="shared" si="34"/>
        <v>2.3333333333333335</v>
      </c>
      <c r="CT17" s="119">
        <f t="shared" si="0"/>
        <v>0</v>
      </c>
      <c r="CU17" s="119">
        <f t="shared" si="1"/>
        <v>0</v>
      </c>
      <c r="CV17" s="119">
        <f t="shared" si="2"/>
        <v>3</v>
      </c>
      <c r="CW17" s="119">
        <f t="shared" si="3"/>
        <v>2</v>
      </c>
      <c r="CX17" s="119">
        <f t="shared" si="4"/>
        <v>0</v>
      </c>
    </row>
    <row r="18" spans="1:102" ht="32.25" thickBot="1">
      <c r="A18" s="25" t="str">
        <f>IF('PI - PPG'!A16&lt;&gt;"",'PI - PPG'!A16,"")</f>
        <v>EF</v>
      </c>
      <c r="B18" s="25" t="str">
        <f>IF('PI - PPG'!B16&lt;&gt;"",'PI - PPG'!B16,"")</f>
        <v>UPE/PE</v>
      </c>
      <c r="C18" s="120" t="s">
        <v>128</v>
      </c>
      <c r="D18" s="85">
        <v>14</v>
      </c>
      <c r="E18" s="25" t="str">
        <f>IF('PI - PPG'!D16&lt;&gt;"",'PI - PPG'!D16,"")</f>
        <v>MARIA TERESA CATTUZZO</v>
      </c>
      <c r="F18" s="128" t="str">
        <f>IF('PI - PPG'!E16&lt;&gt;"",'PI - PPG'!E16," ")</f>
        <v>P</v>
      </c>
      <c r="G18" s="237">
        <v>6</v>
      </c>
      <c r="H18" s="237">
        <v>2</v>
      </c>
      <c r="I18" s="232">
        <v>3</v>
      </c>
      <c r="J18" s="232">
        <v>1</v>
      </c>
      <c r="K18" s="232">
        <v>24</v>
      </c>
      <c r="L18" s="232">
        <v>0</v>
      </c>
      <c r="M18" s="232">
        <v>0</v>
      </c>
      <c r="N18" s="232"/>
      <c r="O18" s="230">
        <v>0</v>
      </c>
      <c r="P18" s="230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3">
        <v>0</v>
      </c>
      <c r="X18" s="233">
        <v>0</v>
      </c>
      <c r="Y18" s="233">
        <v>0</v>
      </c>
      <c r="Z18" s="128" t="str">
        <f>IF('PI - PPG'!U16&lt;&gt;"",'PI - PPG'!U16," ")</f>
        <v>P</v>
      </c>
      <c r="AA18" s="237">
        <v>7</v>
      </c>
      <c r="AB18" s="237">
        <v>3</v>
      </c>
      <c r="AC18" s="232">
        <v>3</v>
      </c>
      <c r="AD18" s="232">
        <v>0</v>
      </c>
      <c r="AE18" s="232"/>
      <c r="AF18" s="232">
        <v>0</v>
      </c>
      <c r="AG18" s="232">
        <v>0</v>
      </c>
      <c r="AH18" s="232"/>
      <c r="AI18" s="230">
        <v>1</v>
      </c>
      <c r="AJ18" s="230">
        <v>0</v>
      </c>
      <c r="AK18" s="232">
        <v>0</v>
      </c>
      <c r="AL18" s="232">
        <v>0</v>
      </c>
      <c r="AM18" s="232">
        <v>0</v>
      </c>
      <c r="AN18" s="232">
        <v>1</v>
      </c>
      <c r="AO18" s="232">
        <v>1</v>
      </c>
      <c r="AP18" s="232">
        <v>1</v>
      </c>
      <c r="AQ18" s="233">
        <v>0</v>
      </c>
      <c r="AR18" s="233">
        <v>0</v>
      </c>
      <c r="AS18" s="233">
        <v>0</v>
      </c>
      <c r="AT18" s="128" t="str">
        <f>IF('PI - PPG'!AK16&lt;&gt;"",'PI - PPG'!AK16," ")</f>
        <v>P</v>
      </c>
      <c r="AU18" s="237">
        <v>8</v>
      </c>
      <c r="AV18" s="237">
        <v>4</v>
      </c>
      <c r="AW18" s="232">
        <v>4</v>
      </c>
      <c r="AX18" s="232">
        <v>2</v>
      </c>
      <c r="AY18" s="232">
        <v>25</v>
      </c>
      <c r="AZ18" s="232">
        <v>0</v>
      </c>
      <c r="BA18" s="232">
        <v>0</v>
      </c>
      <c r="BB18" s="232"/>
      <c r="BC18" s="230">
        <v>3</v>
      </c>
      <c r="BD18" s="230">
        <v>0</v>
      </c>
      <c r="BE18" s="232">
        <v>0</v>
      </c>
      <c r="BF18" s="232">
        <v>0</v>
      </c>
      <c r="BG18" s="232">
        <v>1</v>
      </c>
      <c r="BH18" s="232">
        <v>0</v>
      </c>
      <c r="BI18" s="232">
        <v>3</v>
      </c>
      <c r="BJ18" s="232">
        <v>3</v>
      </c>
      <c r="BK18" s="233">
        <v>0</v>
      </c>
      <c r="BL18" s="233">
        <v>0</v>
      </c>
      <c r="BM18" s="97">
        <v>0</v>
      </c>
      <c r="BN18" s="319"/>
      <c r="BO18" s="129">
        <f>'PI - PPG'!BB16</f>
        <v>3</v>
      </c>
      <c r="BP18" s="91">
        <f t="shared" si="5"/>
        <v>7</v>
      </c>
      <c r="BQ18" s="91">
        <f t="shared" si="6"/>
        <v>3</v>
      </c>
      <c r="BR18" s="91">
        <f t="shared" si="7"/>
        <v>3.3333333333333335</v>
      </c>
      <c r="BS18" s="91">
        <f t="shared" si="8"/>
        <v>1</v>
      </c>
      <c r="BT18" s="91">
        <f t="shared" si="9"/>
        <v>24.5</v>
      </c>
      <c r="BU18" s="91">
        <f t="shared" si="10"/>
        <v>0</v>
      </c>
      <c r="BV18" s="91">
        <f t="shared" si="11"/>
        <v>0</v>
      </c>
      <c r="BW18" s="91" t="e">
        <f t="shared" si="12"/>
        <v>#DIV/0!</v>
      </c>
      <c r="BX18" s="91">
        <f t="shared" si="13"/>
        <v>1.3333333333333333</v>
      </c>
      <c r="BY18" s="91">
        <f t="shared" si="14"/>
        <v>0</v>
      </c>
      <c r="BZ18" s="91">
        <f t="shared" si="15"/>
        <v>0</v>
      </c>
      <c r="CA18" s="91">
        <f t="shared" si="16"/>
        <v>0</v>
      </c>
      <c r="CB18" s="91">
        <f t="shared" si="17"/>
        <v>0.3333333333333333</v>
      </c>
      <c r="CC18" s="91">
        <f t="shared" si="18"/>
        <v>0.3333333333333333</v>
      </c>
      <c r="CD18" s="91">
        <f t="shared" si="19"/>
        <v>1.3333333333333333</v>
      </c>
      <c r="CE18" s="91">
        <f t="shared" si="20"/>
        <v>1.3333333333333333</v>
      </c>
      <c r="CF18" s="91">
        <f t="shared" si="21"/>
        <v>0</v>
      </c>
      <c r="CG18" s="91">
        <f t="shared" si="22"/>
        <v>0</v>
      </c>
      <c r="CH18" s="91">
        <f t="shared" si="23"/>
        <v>0</v>
      </c>
      <c r="CI18" s="119">
        <f t="shared" si="24"/>
        <v>7</v>
      </c>
      <c r="CJ18" s="119">
        <f t="shared" si="25"/>
        <v>21</v>
      </c>
      <c r="CK18" s="119">
        <f t="shared" si="26"/>
        <v>3</v>
      </c>
      <c r="CL18" s="119">
        <f t="shared" si="27"/>
        <v>7</v>
      </c>
      <c r="CM18" s="119">
        <f t="shared" si="28"/>
        <v>3.3333333333333335</v>
      </c>
      <c r="CN18" s="119">
        <f t="shared" si="29"/>
        <v>10</v>
      </c>
      <c r="CO18" s="119">
        <f t="shared" si="30"/>
        <v>3</v>
      </c>
      <c r="CP18" s="119">
        <f t="shared" si="31"/>
        <v>0</v>
      </c>
      <c r="CQ18" s="119">
        <f t="shared" si="32"/>
        <v>0</v>
      </c>
      <c r="CR18" s="119">
        <f t="shared" si="33"/>
        <v>0</v>
      </c>
      <c r="CS18" s="119">
        <f t="shared" si="34"/>
        <v>1.3333333333333333</v>
      </c>
      <c r="CT18" s="119">
        <f t="shared" si="0"/>
        <v>0</v>
      </c>
      <c r="CU18" s="119">
        <f t="shared" si="1"/>
        <v>0</v>
      </c>
      <c r="CV18" s="119">
        <f t="shared" si="2"/>
        <v>1</v>
      </c>
      <c r="CW18" s="119">
        <f t="shared" si="3"/>
        <v>4</v>
      </c>
      <c r="CX18" s="119">
        <f t="shared" si="4"/>
        <v>4</v>
      </c>
    </row>
    <row r="19" spans="1:102" ht="48" thickBot="1">
      <c r="A19" s="25" t="str">
        <f>IF('PI - PPG'!A17&lt;&gt;"",'PI - PPG'!A17,"")</f>
        <v>EF</v>
      </c>
      <c r="B19" s="25" t="str">
        <f>IF('PI - PPG'!B17&lt;&gt;"",'PI - PPG'!B17,"")</f>
        <v>UPE/PE</v>
      </c>
      <c r="C19" s="120" t="s">
        <v>128</v>
      </c>
      <c r="D19" s="85">
        <v>15</v>
      </c>
      <c r="E19" s="25" t="str">
        <f>IF('PI - PPG'!D17&lt;&gt;"",'PI - PPG'!D17,"")</f>
        <v>MAURO VIRGILIO GOMES DE BARROS</v>
      </c>
      <c r="F19" s="128" t="str">
        <f>IF('PI - PPG'!E17&lt;&gt;"",'PI - PPG'!E17," ")</f>
        <v>P</v>
      </c>
      <c r="G19" s="237">
        <v>2</v>
      </c>
      <c r="H19" s="237">
        <v>2</v>
      </c>
      <c r="I19" s="232">
        <v>3</v>
      </c>
      <c r="J19" s="232">
        <v>1</v>
      </c>
      <c r="K19" s="232">
        <v>24</v>
      </c>
      <c r="L19" s="232">
        <v>0</v>
      </c>
      <c r="M19" s="232">
        <v>0</v>
      </c>
      <c r="N19" s="232"/>
      <c r="O19" s="230">
        <v>2</v>
      </c>
      <c r="P19" s="230">
        <v>0</v>
      </c>
      <c r="Q19" s="232">
        <v>0</v>
      </c>
      <c r="R19" s="232">
        <v>0</v>
      </c>
      <c r="S19" s="232">
        <v>3</v>
      </c>
      <c r="T19" s="232">
        <v>3</v>
      </c>
      <c r="U19" s="232">
        <v>0</v>
      </c>
      <c r="V19" s="232">
        <v>3</v>
      </c>
      <c r="W19" s="233">
        <v>2</v>
      </c>
      <c r="X19" s="233">
        <v>1</v>
      </c>
      <c r="Y19" s="233">
        <v>0</v>
      </c>
      <c r="Z19" s="128" t="str">
        <f>IF('PI - PPG'!U17&lt;&gt;"",'PI - PPG'!U17," ")</f>
        <v>P</v>
      </c>
      <c r="AA19" s="237">
        <v>2</v>
      </c>
      <c r="AB19" s="237">
        <v>2</v>
      </c>
      <c r="AC19" s="232">
        <v>3</v>
      </c>
      <c r="AD19" s="232">
        <v>1</v>
      </c>
      <c r="AE19" s="232">
        <v>24</v>
      </c>
      <c r="AF19" s="232">
        <v>0</v>
      </c>
      <c r="AG19" s="232">
        <v>0</v>
      </c>
      <c r="AH19" s="232"/>
      <c r="AI19" s="230">
        <v>2</v>
      </c>
      <c r="AJ19" s="230">
        <v>0</v>
      </c>
      <c r="AK19" s="232">
        <v>0</v>
      </c>
      <c r="AL19" s="232">
        <v>1</v>
      </c>
      <c r="AM19" s="232">
        <v>3</v>
      </c>
      <c r="AN19" s="232">
        <v>1</v>
      </c>
      <c r="AO19" s="232">
        <v>0</v>
      </c>
      <c r="AP19" s="232">
        <v>3</v>
      </c>
      <c r="AQ19" s="233">
        <v>2</v>
      </c>
      <c r="AR19" s="233">
        <v>2</v>
      </c>
      <c r="AS19" s="233">
        <v>0</v>
      </c>
      <c r="AT19" s="128" t="str">
        <f>IF('PI - PPG'!AK17&lt;&gt;"",'PI - PPG'!AK17," ")</f>
        <v>P</v>
      </c>
      <c r="AU19" s="237">
        <v>2</v>
      </c>
      <c r="AV19" s="237">
        <v>2</v>
      </c>
      <c r="AW19" s="232">
        <v>2</v>
      </c>
      <c r="AX19" s="232">
        <v>2</v>
      </c>
      <c r="AY19" s="232">
        <v>24</v>
      </c>
      <c r="AZ19" s="232">
        <v>0</v>
      </c>
      <c r="BA19" s="232">
        <v>0</v>
      </c>
      <c r="BB19" s="232"/>
      <c r="BC19" s="230">
        <v>2</v>
      </c>
      <c r="BD19" s="230">
        <v>0</v>
      </c>
      <c r="BE19" s="232">
        <v>0</v>
      </c>
      <c r="BF19" s="232">
        <v>1</v>
      </c>
      <c r="BG19" s="232">
        <v>2</v>
      </c>
      <c r="BH19" s="232">
        <v>2</v>
      </c>
      <c r="BI19" s="232">
        <v>1</v>
      </c>
      <c r="BJ19" s="232">
        <v>2</v>
      </c>
      <c r="BK19" s="233">
        <v>2</v>
      </c>
      <c r="BL19" s="233">
        <v>2</v>
      </c>
      <c r="BM19" s="97">
        <v>0</v>
      </c>
      <c r="BN19" s="319"/>
      <c r="BO19" s="129">
        <f>'PI - PPG'!BB17</f>
        <v>3</v>
      </c>
      <c r="BP19" s="91">
        <f t="shared" si="5"/>
        <v>2</v>
      </c>
      <c r="BQ19" s="91">
        <f t="shared" si="6"/>
        <v>2</v>
      </c>
      <c r="BR19" s="91">
        <f t="shared" si="7"/>
        <v>2.6666666666666665</v>
      </c>
      <c r="BS19" s="91">
        <f t="shared" si="8"/>
        <v>1.3333333333333333</v>
      </c>
      <c r="BT19" s="91">
        <f t="shared" si="9"/>
        <v>24</v>
      </c>
      <c r="BU19" s="91">
        <f t="shared" si="10"/>
        <v>0</v>
      </c>
      <c r="BV19" s="91">
        <f t="shared" si="11"/>
        <v>0</v>
      </c>
      <c r="BW19" s="91" t="e">
        <f t="shared" si="12"/>
        <v>#DIV/0!</v>
      </c>
      <c r="BX19" s="91">
        <f t="shared" si="13"/>
        <v>2</v>
      </c>
      <c r="BY19" s="91">
        <f t="shared" si="14"/>
        <v>0</v>
      </c>
      <c r="BZ19" s="91">
        <f t="shared" si="15"/>
        <v>0</v>
      </c>
      <c r="CA19" s="91">
        <f t="shared" si="16"/>
        <v>0.6666666666666666</v>
      </c>
      <c r="CB19" s="91">
        <f t="shared" si="17"/>
        <v>2.6666666666666665</v>
      </c>
      <c r="CC19" s="91">
        <f t="shared" si="18"/>
        <v>2</v>
      </c>
      <c r="CD19" s="91">
        <f t="shared" si="19"/>
        <v>0.3333333333333333</v>
      </c>
      <c r="CE19" s="91">
        <f t="shared" si="20"/>
        <v>2.6666666666666665</v>
      </c>
      <c r="CF19" s="91">
        <f t="shared" si="21"/>
        <v>2</v>
      </c>
      <c r="CG19" s="91">
        <f t="shared" si="22"/>
        <v>1.6666666666666667</v>
      </c>
      <c r="CH19" s="91">
        <f t="shared" si="23"/>
        <v>0</v>
      </c>
      <c r="CI19" s="119">
        <f t="shared" si="24"/>
        <v>2</v>
      </c>
      <c r="CJ19" s="119">
        <f t="shared" si="25"/>
        <v>6</v>
      </c>
      <c r="CK19" s="119">
        <f t="shared" si="26"/>
        <v>2</v>
      </c>
      <c r="CL19" s="119">
        <f t="shared" si="27"/>
        <v>6</v>
      </c>
      <c r="CM19" s="119">
        <f t="shared" si="28"/>
        <v>4.666666666666666</v>
      </c>
      <c r="CN19" s="119">
        <f t="shared" si="29"/>
        <v>8</v>
      </c>
      <c r="CO19" s="119">
        <f t="shared" si="30"/>
        <v>4</v>
      </c>
      <c r="CP19" s="119">
        <f t="shared" si="31"/>
        <v>1.6666666666666667</v>
      </c>
      <c r="CQ19" s="119">
        <f t="shared" si="32"/>
        <v>0</v>
      </c>
      <c r="CR19" s="119">
        <f t="shared" si="33"/>
        <v>0</v>
      </c>
      <c r="CS19" s="119">
        <f t="shared" si="34"/>
        <v>2</v>
      </c>
      <c r="CT19" s="119">
        <f t="shared" si="0"/>
        <v>0.6666666666666666</v>
      </c>
      <c r="CU19" s="119">
        <f t="shared" si="1"/>
        <v>2</v>
      </c>
      <c r="CV19" s="119">
        <f t="shared" si="2"/>
        <v>6</v>
      </c>
      <c r="CW19" s="119">
        <f t="shared" si="3"/>
        <v>1</v>
      </c>
      <c r="CX19" s="119">
        <f t="shared" si="4"/>
        <v>8</v>
      </c>
    </row>
    <row r="20" spans="1:102" ht="48" thickBot="1">
      <c r="A20" s="25" t="str">
        <f>IF('PI - PPG'!A18&lt;&gt;"",'PI - PPG'!A18,"")</f>
        <v>EF</v>
      </c>
      <c r="B20" s="25" t="str">
        <f>IF('PI - PPG'!B18&lt;&gt;"",'PI - PPG'!B18,"")</f>
        <v>UFPB/PB</v>
      </c>
      <c r="C20" s="120" t="s">
        <v>128</v>
      </c>
      <c r="D20" s="85">
        <v>16</v>
      </c>
      <c r="E20" s="25" t="str">
        <f>IF('PI - PPG'!D18&lt;&gt;"",'PI - PPG'!D18,"")</f>
        <v>PIERRE N. GOMES DA SILVA</v>
      </c>
      <c r="F20" s="128" t="str">
        <f>IF('PI - PPG'!E18&lt;&gt;"",'PI - PPG'!E18," ")</f>
        <v>P</v>
      </c>
      <c r="G20" s="238">
        <v>13</v>
      </c>
      <c r="H20" s="238">
        <v>6</v>
      </c>
      <c r="I20" s="234">
        <v>3</v>
      </c>
      <c r="J20" s="234">
        <v>1</v>
      </c>
      <c r="K20" s="230">
        <v>24</v>
      </c>
      <c r="L20" s="234">
        <v>0</v>
      </c>
      <c r="M20" s="234">
        <v>0</v>
      </c>
      <c r="N20" s="234"/>
      <c r="O20" s="230">
        <v>2</v>
      </c>
      <c r="P20" s="230">
        <v>0</v>
      </c>
      <c r="Q20" s="234">
        <v>0</v>
      </c>
      <c r="R20" s="234">
        <v>0</v>
      </c>
      <c r="S20" s="234">
        <v>0</v>
      </c>
      <c r="T20" s="234">
        <v>0</v>
      </c>
      <c r="U20" s="234">
        <v>0</v>
      </c>
      <c r="V20" s="234">
        <v>2</v>
      </c>
      <c r="W20" s="235">
        <v>0</v>
      </c>
      <c r="X20" s="235">
        <v>0</v>
      </c>
      <c r="Y20" s="235">
        <v>0</v>
      </c>
      <c r="Z20" s="128" t="s">
        <v>309</v>
      </c>
      <c r="AA20" s="238">
        <v>11</v>
      </c>
      <c r="AB20" s="238">
        <v>3</v>
      </c>
      <c r="AC20" s="234">
        <v>3</v>
      </c>
      <c r="AD20" s="234">
        <v>2</v>
      </c>
      <c r="AE20" s="234">
        <v>24</v>
      </c>
      <c r="AF20" s="234">
        <v>0</v>
      </c>
      <c r="AG20" s="234">
        <v>0</v>
      </c>
      <c r="AH20" s="234"/>
      <c r="AI20" s="230">
        <v>3</v>
      </c>
      <c r="AJ20" s="230">
        <v>0</v>
      </c>
      <c r="AK20" s="234">
        <v>0</v>
      </c>
      <c r="AL20" s="234">
        <v>0</v>
      </c>
      <c r="AM20" s="234">
        <v>0</v>
      </c>
      <c r="AN20" s="234">
        <v>6</v>
      </c>
      <c r="AO20" s="234">
        <v>0</v>
      </c>
      <c r="AP20" s="234">
        <v>2</v>
      </c>
      <c r="AQ20" s="235">
        <v>0</v>
      </c>
      <c r="AR20" s="235">
        <v>0</v>
      </c>
      <c r="AS20" s="235">
        <v>0</v>
      </c>
      <c r="AT20" s="128" t="s">
        <v>309</v>
      </c>
      <c r="AU20" s="238">
        <v>0</v>
      </c>
      <c r="AV20" s="238">
        <v>4</v>
      </c>
      <c r="AW20" s="234">
        <v>2</v>
      </c>
      <c r="AX20" s="234">
        <v>2</v>
      </c>
      <c r="AY20" s="230">
        <v>23</v>
      </c>
      <c r="AZ20" s="234">
        <v>0</v>
      </c>
      <c r="BA20" s="234">
        <v>0</v>
      </c>
      <c r="BB20" s="234"/>
      <c r="BC20" s="230">
        <v>3</v>
      </c>
      <c r="BD20" s="230">
        <v>0</v>
      </c>
      <c r="BE20" s="234">
        <v>0</v>
      </c>
      <c r="BF20" s="234">
        <v>0</v>
      </c>
      <c r="BG20" s="234">
        <v>0</v>
      </c>
      <c r="BH20" s="234">
        <v>2</v>
      </c>
      <c r="BI20" s="234">
        <v>2</v>
      </c>
      <c r="BJ20" s="234">
        <v>2</v>
      </c>
      <c r="BK20" s="235">
        <v>0</v>
      </c>
      <c r="BL20" s="235">
        <v>0</v>
      </c>
      <c r="BM20" s="215">
        <v>0</v>
      </c>
      <c r="BN20" s="319"/>
      <c r="BO20" s="129">
        <f>'PI - PPG'!BB18</f>
        <v>3</v>
      </c>
      <c r="BP20" s="91">
        <f t="shared" si="5"/>
        <v>8</v>
      </c>
      <c r="BQ20" s="91">
        <f t="shared" si="6"/>
        <v>4.333333333333333</v>
      </c>
      <c r="BR20" s="91">
        <f t="shared" si="7"/>
        <v>2.6666666666666665</v>
      </c>
      <c r="BS20" s="91">
        <f t="shared" si="8"/>
        <v>1.6666666666666667</v>
      </c>
      <c r="BT20" s="91">
        <f t="shared" si="9"/>
        <v>23.666666666666668</v>
      </c>
      <c r="BU20" s="91">
        <f t="shared" si="10"/>
        <v>0</v>
      </c>
      <c r="BV20" s="91">
        <f t="shared" si="11"/>
        <v>0</v>
      </c>
      <c r="BW20" s="91" t="e">
        <f t="shared" si="12"/>
        <v>#DIV/0!</v>
      </c>
      <c r="BX20" s="91">
        <f t="shared" si="13"/>
        <v>2.6666666666666665</v>
      </c>
      <c r="BY20" s="91">
        <f t="shared" si="14"/>
        <v>0</v>
      </c>
      <c r="BZ20" s="91">
        <f t="shared" si="15"/>
        <v>0</v>
      </c>
      <c r="CA20" s="91">
        <f t="shared" si="16"/>
        <v>0</v>
      </c>
      <c r="CB20" s="91">
        <f t="shared" si="17"/>
        <v>0</v>
      </c>
      <c r="CC20" s="91">
        <f t="shared" si="18"/>
        <v>2.6666666666666665</v>
      </c>
      <c r="CD20" s="91">
        <f t="shared" si="19"/>
        <v>0.6666666666666666</v>
      </c>
      <c r="CE20" s="91">
        <f t="shared" si="20"/>
        <v>2</v>
      </c>
      <c r="CF20" s="91">
        <f t="shared" si="21"/>
        <v>0</v>
      </c>
      <c r="CG20" s="91">
        <f t="shared" si="22"/>
        <v>0</v>
      </c>
      <c r="CH20" s="91">
        <f t="shared" si="23"/>
        <v>0</v>
      </c>
      <c r="CI20" s="119">
        <f t="shared" si="24"/>
        <v>8</v>
      </c>
      <c r="CJ20" s="119">
        <f t="shared" si="25"/>
        <v>24</v>
      </c>
      <c r="CK20" s="119">
        <f t="shared" si="26"/>
        <v>4.333333333333333</v>
      </c>
      <c r="CL20" s="119">
        <f t="shared" si="27"/>
        <v>11</v>
      </c>
      <c r="CM20" s="119">
        <f t="shared" si="28"/>
        <v>2.6666666666666665</v>
      </c>
      <c r="CN20" s="119">
        <f t="shared" si="29"/>
        <v>8</v>
      </c>
      <c r="CO20" s="119">
        <f t="shared" si="30"/>
        <v>5</v>
      </c>
      <c r="CP20" s="119">
        <f t="shared" si="31"/>
        <v>0</v>
      </c>
      <c r="CQ20" s="119">
        <f t="shared" si="32"/>
        <v>0</v>
      </c>
      <c r="CR20" s="119">
        <f t="shared" si="33"/>
        <v>0</v>
      </c>
      <c r="CS20" s="119">
        <f t="shared" si="34"/>
        <v>2.6666666666666665</v>
      </c>
      <c r="CT20" s="119">
        <f t="shared" si="0"/>
        <v>0</v>
      </c>
      <c r="CU20" s="119">
        <f t="shared" si="1"/>
        <v>0</v>
      </c>
      <c r="CV20" s="119">
        <f t="shared" si="2"/>
        <v>8</v>
      </c>
      <c r="CW20" s="119">
        <f t="shared" si="3"/>
        <v>2</v>
      </c>
      <c r="CX20" s="119">
        <f t="shared" si="4"/>
        <v>6</v>
      </c>
    </row>
    <row r="21" spans="1:102" ht="48" thickBot="1">
      <c r="A21" s="25" t="str">
        <f>IF('PI - PPG'!A19&lt;&gt;"",'PI - PPG'!A19,"")</f>
        <v>EF</v>
      </c>
      <c r="B21" s="25" t="str">
        <f>IF('PI - PPG'!B19&lt;&gt;"",'PI - PPG'!B19,"")</f>
        <v>UPE/PE</v>
      </c>
      <c r="C21" s="120" t="s">
        <v>128</v>
      </c>
      <c r="D21" s="85">
        <v>17</v>
      </c>
      <c r="E21" s="25" t="str">
        <f>IF('PI - PPG'!D19&lt;&gt;"",'PI - PPG'!D19,"")</f>
        <v>RAPHAEL MENDES RITTI DIAS</v>
      </c>
      <c r="F21" s="128" t="str">
        <f>IF('PI - PPG'!E19&lt;&gt;"",'PI - PPG'!E19," ")</f>
        <v>P</v>
      </c>
      <c r="G21" s="237">
        <v>11</v>
      </c>
      <c r="H21" s="237">
        <v>1</v>
      </c>
      <c r="I21" s="232">
        <v>3</v>
      </c>
      <c r="J21" s="232">
        <v>0</v>
      </c>
      <c r="K21" s="232"/>
      <c r="L21" s="232">
        <v>0</v>
      </c>
      <c r="M21" s="232">
        <v>0</v>
      </c>
      <c r="N21" s="232"/>
      <c r="O21" s="230">
        <v>3</v>
      </c>
      <c r="P21" s="230">
        <v>0</v>
      </c>
      <c r="Q21" s="232">
        <v>0</v>
      </c>
      <c r="R21" s="232">
        <v>0</v>
      </c>
      <c r="S21" s="232">
        <v>0</v>
      </c>
      <c r="T21" s="232">
        <v>1</v>
      </c>
      <c r="U21" s="232">
        <v>0</v>
      </c>
      <c r="V21" s="232">
        <v>3</v>
      </c>
      <c r="W21" s="233">
        <v>0</v>
      </c>
      <c r="X21" s="233">
        <v>0</v>
      </c>
      <c r="Y21" s="233">
        <v>0</v>
      </c>
      <c r="Z21" s="128" t="str">
        <f>IF('PI - PPG'!U19&lt;&gt;"",'PI - PPG'!U19," ")</f>
        <v>P</v>
      </c>
      <c r="AA21" s="237">
        <v>8</v>
      </c>
      <c r="AB21" s="237">
        <v>4</v>
      </c>
      <c r="AC21" s="232">
        <v>5</v>
      </c>
      <c r="AD21" s="232">
        <v>2</v>
      </c>
      <c r="AE21" s="232">
        <v>23</v>
      </c>
      <c r="AF21" s="232">
        <v>0</v>
      </c>
      <c r="AG21" s="232">
        <v>0</v>
      </c>
      <c r="AH21" s="232"/>
      <c r="AI21" s="230">
        <v>5</v>
      </c>
      <c r="AJ21" s="230">
        <v>0</v>
      </c>
      <c r="AK21" s="232">
        <v>0</v>
      </c>
      <c r="AL21" s="232">
        <v>0</v>
      </c>
      <c r="AM21" s="232">
        <v>1</v>
      </c>
      <c r="AN21" s="232">
        <v>3</v>
      </c>
      <c r="AO21" s="232">
        <v>4</v>
      </c>
      <c r="AP21" s="232">
        <v>4</v>
      </c>
      <c r="AQ21" s="233">
        <v>1</v>
      </c>
      <c r="AR21" s="233">
        <v>0</v>
      </c>
      <c r="AS21" s="233">
        <v>0</v>
      </c>
      <c r="AT21" s="128" t="str">
        <f>IF('PI - PPG'!AK19&lt;&gt;"",'PI - PPG'!AK19," ")</f>
        <v>P</v>
      </c>
      <c r="AU21" s="237">
        <v>7</v>
      </c>
      <c r="AV21" s="237">
        <v>6</v>
      </c>
      <c r="AW21" s="232">
        <v>4</v>
      </c>
      <c r="AX21" s="232">
        <v>1</v>
      </c>
      <c r="AY21" s="232">
        <v>24</v>
      </c>
      <c r="AZ21" s="232">
        <v>0</v>
      </c>
      <c r="BA21" s="232">
        <v>0</v>
      </c>
      <c r="BB21" s="232"/>
      <c r="BC21" s="230">
        <v>3</v>
      </c>
      <c r="BD21" s="230">
        <v>0</v>
      </c>
      <c r="BE21" s="232">
        <v>0</v>
      </c>
      <c r="BF21" s="232">
        <v>0</v>
      </c>
      <c r="BG21" s="232">
        <v>1</v>
      </c>
      <c r="BH21" s="232">
        <v>1</v>
      </c>
      <c r="BI21" s="232">
        <v>2</v>
      </c>
      <c r="BJ21" s="232">
        <v>3</v>
      </c>
      <c r="BK21" s="233">
        <v>2</v>
      </c>
      <c r="BL21" s="233">
        <v>0</v>
      </c>
      <c r="BM21" s="97">
        <v>0</v>
      </c>
      <c r="BN21" s="319"/>
      <c r="BO21" s="129">
        <f>'PI - PPG'!BB19</f>
        <v>3</v>
      </c>
      <c r="BP21" s="91">
        <f t="shared" si="5"/>
        <v>8.666666666666666</v>
      </c>
      <c r="BQ21" s="91">
        <f t="shared" si="6"/>
        <v>3.6666666666666665</v>
      </c>
      <c r="BR21" s="91">
        <f t="shared" si="7"/>
        <v>4</v>
      </c>
      <c r="BS21" s="91">
        <f t="shared" si="8"/>
        <v>1</v>
      </c>
      <c r="BT21" s="91">
        <f t="shared" si="9"/>
        <v>23.5</v>
      </c>
      <c r="BU21" s="91">
        <f t="shared" si="10"/>
        <v>0</v>
      </c>
      <c r="BV21" s="91">
        <f t="shared" si="11"/>
        <v>0</v>
      </c>
      <c r="BW21" s="91" t="e">
        <f t="shared" si="12"/>
        <v>#DIV/0!</v>
      </c>
      <c r="BX21" s="91">
        <f t="shared" si="13"/>
        <v>3.6666666666666665</v>
      </c>
      <c r="BY21" s="91">
        <f t="shared" si="14"/>
        <v>0</v>
      </c>
      <c r="BZ21" s="91">
        <f t="shared" si="15"/>
        <v>0</v>
      </c>
      <c r="CA21" s="91">
        <f t="shared" si="16"/>
        <v>0</v>
      </c>
      <c r="CB21" s="91">
        <f t="shared" si="17"/>
        <v>0.6666666666666666</v>
      </c>
      <c r="CC21" s="91">
        <f t="shared" si="18"/>
        <v>1.6666666666666667</v>
      </c>
      <c r="CD21" s="91">
        <f t="shared" si="19"/>
        <v>2</v>
      </c>
      <c r="CE21" s="91">
        <f t="shared" si="20"/>
        <v>3.3333333333333335</v>
      </c>
      <c r="CF21" s="91">
        <f t="shared" si="21"/>
        <v>1</v>
      </c>
      <c r="CG21" s="91">
        <f t="shared" si="22"/>
        <v>0</v>
      </c>
      <c r="CH21" s="91">
        <f t="shared" si="23"/>
        <v>0</v>
      </c>
      <c r="CI21" s="119">
        <f t="shared" si="24"/>
        <v>8.666666666666666</v>
      </c>
      <c r="CJ21" s="119">
        <f t="shared" si="25"/>
        <v>26</v>
      </c>
      <c r="CK21" s="119">
        <f t="shared" si="26"/>
        <v>3.6666666666666665</v>
      </c>
      <c r="CL21" s="119">
        <f t="shared" si="27"/>
        <v>6</v>
      </c>
      <c r="CM21" s="119">
        <f t="shared" si="28"/>
        <v>5</v>
      </c>
      <c r="CN21" s="119">
        <f t="shared" si="29"/>
        <v>12</v>
      </c>
      <c r="CO21" s="119">
        <f t="shared" si="30"/>
        <v>3</v>
      </c>
      <c r="CP21" s="119">
        <f t="shared" si="31"/>
        <v>0</v>
      </c>
      <c r="CQ21" s="119">
        <f t="shared" si="32"/>
        <v>0</v>
      </c>
      <c r="CR21" s="119">
        <f t="shared" si="33"/>
        <v>0</v>
      </c>
      <c r="CS21" s="119">
        <f t="shared" si="34"/>
        <v>3.6666666666666665</v>
      </c>
      <c r="CT21" s="119">
        <f t="shared" si="0"/>
        <v>0</v>
      </c>
      <c r="CU21" s="119">
        <f t="shared" si="1"/>
        <v>0</v>
      </c>
      <c r="CV21" s="119">
        <f t="shared" si="2"/>
        <v>5</v>
      </c>
      <c r="CW21" s="119">
        <f t="shared" si="3"/>
        <v>6</v>
      </c>
      <c r="CX21" s="119">
        <f t="shared" si="4"/>
        <v>10</v>
      </c>
    </row>
    <row r="22" spans="1:102" ht="48" thickBot="1">
      <c r="A22" s="25" t="str">
        <f>IF('PI - PPG'!A20&lt;&gt;"",'PI - PPG'!A20,"")</f>
        <v>EF</v>
      </c>
      <c r="B22" s="25" t="str">
        <f>IF('PI - PPG'!B20&lt;&gt;"",'PI - PPG'!B20,"")</f>
        <v>UPE/PE</v>
      </c>
      <c r="C22" s="120" t="s">
        <v>128</v>
      </c>
      <c r="D22" s="85">
        <v>18</v>
      </c>
      <c r="E22" s="25" t="str">
        <f>IF('PI - PPG'!D20&lt;&gt;"",'PI - PPG'!D20,"")</f>
        <v>RODRIGO CAPPATO DE ARAÚJO</v>
      </c>
      <c r="F22" s="128" t="str">
        <f>IF('PI - PPG'!E20&lt;&gt;"",'PI - PPG'!E20," ")</f>
        <v> </v>
      </c>
      <c r="G22" s="237">
        <v>0</v>
      </c>
      <c r="H22" s="237">
        <v>0</v>
      </c>
      <c r="I22" s="232">
        <v>0</v>
      </c>
      <c r="J22" s="232">
        <v>0</v>
      </c>
      <c r="K22" s="232"/>
      <c r="L22" s="232">
        <v>0</v>
      </c>
      <c r="M22" s="232">
        <v>0</v>
      </c>
      <c r="N22" s="232"/>
      <c r="O22" s="230">
        <v>0</v>
      </c>
      <c r="P22" s="230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3">
        <v>0</v>
      </c>
      <c r="X22" s="233">
        <v>0</v>
      </c>
      <c r="Y22" s="233">
        <v>0</v>
      </c>
      <c r="Z22" s="128" t="str">
        <f>IF('PI - PPG'!U20&lt;&gt;"",'PI - PPG'!U20," ")</f>
        <v>P</v>
      </c>
      <c r="AA22" s="237">
        <v>3</v>
      </c>
      <c r="AB22" s="237">
        <v>2</v>
      </c>
      <c r="AC22" s="232">
        <v>0</v>
      </c>
      <c r="AD22" s="232">
        <v>0</v>
      </c>
      <c r="AE22" s="232"/>
      <c r="AF22" s="232">
        <v>0</v>
      </c>
      <c r="AG22" s="232">
        <v>0</v>
      </c>
      <c r="AH22" s="232"/>
      <c r="AI22" s="230">
        <v>0</v>
      </c>
      <c r="AJ22" s="230">
        <v>0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3">
        <v>0</v>
      </c>
      <c r="AR22" s="233">
        <v>0</v>
      </c>
      <c r="AS22" s="233">
        <v>0</v>
      </c>
      <c r="AT22" s="128" t="str">
        <f>IF('PI - PPG'!AK20&lt;&gt;"",'PI - PPG'!AK20," ")</f>
        <v>P</v>
      </c>
      <c r="AU22" s="237">
        <v>3</v>
      </c>
      <c r="AV22" s="237">
        <v>4</v>
      </c>
      <c r="AW22" s="232">
        <v>1</v>
      </c>
      <c r="AX22" s="232">
        <v>0</v>
      </c>
      <c r="AY22" s="232"/>
      <c r="AZ22" s="232">
        <v>0</v>
      </c>
      <c r="BA22" s="232">
        <v>0</v>
      </c>
      <c r="BB22" s="232"/>
      <c r="BC22" s="230">
        <v>0</v>
      </c>
      <c r="BD22" s="230">
        <v>0</v>
      </c>
      <c r="BE22" s="232">
        <v>0</v>
      </c>
      <c r="BF22" s="232">
        <v>0</v>
      </c>
      <c r="BG22" s="232">
        <v>0</v>
      </c>
      <c r="BH22" s="232">
        <v>0</v>
      </c>
      <c r="BI22" s="232">
        <v>0</v>
      </c>
      <c r="BJ22" s="232">
        <v>1</v>
      </c>
      <c r="BK22" s="233">
        <v>1</v>
      </c>
      <c r="BL22" s="233">
        <v>0</v>
      </c>
      <c r="BM22" s="97">
        <v>0</v>
      </c>
      <c r="BN22" s="319"/>
      <c r="BO22" s="129">
        <f>'PI - PPG'!BB20</f>
        <v>2</v>
      </c>
      <c r="BP22" s="91">
        <f t="shared" si="5"/>
        <v>2</v>
      </c>
      <c r="BQ22" s="91">
        <f t="shared" si="6"/>
        <v>2</v>
      </c>
      <c r="BR22" s="91">
        <f t="shared" si="7"/>
        <v>0.3333333333333333</v>
      </c>
      <c r="BS22" s="91">
        <f t="shared" si="8"/>
        <v>0</v>
      </c>
      <c r="BT22" s="91" t="e">
        <f t="shared" si="9"/>
        <v>#DIV/0!</v>
      </c>
      <c r="BU22" s="91">
        <f t="shared" si="10"/>
        <v>0</v>
      </c>
      <c r="BV22" s="91">
        <f t="shared" si="11"/>
        <v>0</v>
      </c>
      <c r="BW22" s="91" t="e">
        <f t="shared" si="12"/>
        <v>#DIV/0!</v>
      </c>
      <c r="BX22" s="91">
        <f t="shared" si="13"/>
        <v>0</v>
      </c>
      <c r="BY22" s="91">
        <f t="shared" si="14"/>
        <v>0</v>
      </c>
      <c r="BZ22" s="91">
        <f t="shared" si="15"/>
        <v>0</v>
      </c>
      <c r="CA22" s="91">
        <f t="shared" si="16"/>
        <v>0</v>
      </c>
      <c r="CB22" s="91">
        <f t="shared" si="17"/>
        <v>0</v>
      </c>
      <c r="CC22" s="91">
        <f t="shared" si="18"/>
        <v>0</v>
      </c>
      <c r="CD22" s="91">
        <f t="shared" si="19"/>
        <v>0</v>
      </c>
      <c r="CE22" s="91">
        <f t="shared" si="20"/>
        <v>0.3333333333333333</v>
      </c>
      <c r="CF22" s="91">
        <f t="shared" si="21"/>
        <v>0.3333333333333333</v>
      </c>
      <c r="CG22" s="91">
        <f t="shared" si="22"/>
        <v>0</v>
      </c>
      <c r="CH22" s="91">
        <f t="shared" si="23"/>
        <v>0</v>
      </c>
      <c r="CI22" s="119">
        <f t="shared" si="24"/>
        <v>2</v>
      </c>
      <c r="CJ22" s="119">
        <f t="shared" si="25"/>
        <v>6</v>
      </c>
      <c r="CK22" s="119">
        <f t="shared" si="26"/>
        <v>2</v>
      </c>
      <c r="CL22" s="119">
        <f t="shared" si="27"/>
        <v>2</v>
      </c>
      <c r="CM22" s="119">
        <f t="shared" si="28"/>
        <v>0.6666666666666666</v>
      </c>
      <c r="CN22" s="119">
        <f t="shared" si="29"/>
        <v>1</v>
      </c>
      <c r="CO22" s="119">
        <f t="shared" si="30"/>
        <v>0</v>
      </c>
      <c r="CP22" s="119">
        <f t="shared" si="31"/>
        <v>0</v>
      </c>
      <c r="CQ22" s="119">
        <f t="shared" si="32"/>
        <v>0</v>
      </c>
      <c r="CR22" s="119">
        <f t="shared" si="33"/>
        <v>0</v>
      </c>
      <c r="CS22" s="119">
        <f t="shared" si="34"/>
        <v>0</v>
      </c>
      <c r="CT22" s="119">
        <f t="shared" si="0"/>
        <v>0</v>
      </c>
      <c r="CU22" s="119">
        <f t="shared" si="1"/>
        <v>0</v>
      </c>
      <c r="CV22" s="119">
        <f t="shared" si="2"/>
        <v>0</v>
      </c>
      <c r="CW22" s="119">
        <f t="shared" si="3"/>
        <v>0</v>
      </c>
      <c r="CX22" s="119">
        <f t="shared" si="4"/>
        <v>1</v>
      </c>
    </row>
    <row r="23" spans="1:102" ht="32.25" thickBot="1">
      <c r="A23" s="25" t="str">
        <f>IF('PI - PPG'!A21&lt;&gt;"",'PI - PPG'!A21,"")</f>
        <v>EF</v>
      </c>
      <c r="B23" s="25" t="str">
        <f>IF('PI - PPG'!B21&lt;&gt;"",'PI - PPG'!B21,"")</f>
        <v>UPE/PE</v>
      </c>
      <c r="C23" s="120" t="s">
        <v>128</v>
      </c>
      <c r="D23" s="85">
        <v>19</v>
      </c>
      <c r="E23" s="25" t="str">
        <f>IF('PI - PPG'!D21&lt;&gt;"",'PI - PPG'!D21,"")</f>
        <v>WAGNER LUIZ DO PRADO</v>
      </c>
      <c r="F23" s="128" t="str">
        <f>IF('PI - PPG'!E21&lt;&gt;"",'PI - PPG'!E21," ")</f>
        <v>P</v>
      </c>
      <c r="G23" s="237">
        <v>14</v>
      </c>
      <c r="H23" s="237">
        <v>6</v>
      </c>
      <c r="I23" s="232">
        <v>4</v>
      </c>
      <c r="J23" s="232">
        <v>1</v>
      </c>
      <c r="K23" s="232">
        <v>24</v>
      </c>
      <c r="L23" s="232">
        <v>0</v>
      </c>
      <c r="M23" s="232">
        <v>0</v>
      </c>
      <c r="N23" s="232"/>
      <c r="O23" s="230">
        <v>3</v>
      </c>
      <c r="P23" s="230">
        <v>0</v>
      </c>
      <c r="Q23" s="232">
        <v>0</v>
      </c>
      <c r="R23" s="232">
        <v>0</v>
      </c>
      <c r="S23" s="232">
        <v>1</v>
      </c>
      <c r="T23" s="232">
        <v>0</v>
      </c>
      <c r="U23" s="232">
        <v>2</v>
      </c>
      <c r="V23" s="232">
        <v>3</v>
      </c>
      <c r="W23" s="233">
        <v>0</v>
      </c>
      <c r="X23" s="233">
        <v>0</v>
      </c>
      <c r="Y23" s="233">
        <v>0</v>
      </c>
      <c r="Z23" s="128" t="str">
        <f>IF('PI - PPG'!U21&lt;&gt;"",'PI - PPG'!U21," ")</f>
        <v>P</v>
      </c>
      <c r="AA23" s="237">
        <v>11</v>
      </c>
      <c r="AB23" s="237">
        <v>5</v>
      </c>
      <c r="AC23" s="232">
        <v>4</v>
      </c>
      <c r="AD23" s="232">
        <v>1</v>
      </c>
      <c r="AE23" s="232">
        <v>24</v>
      </c>
      <c r="AF23" s="232">
        <v>0</v>
      </c>
      <c r="AG23" s="232">
        <v>0</v>
      </c>
      <c r="AH23" s="232"/>
      <c r="AI23" s="230">
        <v>3</v>
      </c>
      <c r="AJ23" s="230">
        <v>0</v>
      </c>
      <c r="AK23" s="232">
        <v>0</v>
      </c>
      <c r="AL23" s="232">
        <v>0</v>
      </c>
      <c r="AM23" s="232">
        <v>0</v>
      </c>
      <c r="AN23" s="232">
        <v>0</v>
      </c>
      <c r="AO23" s="232">
        <v>2</v>
      </c>
      <c r="AP23" s="232">
        <v>3</v>
      </c>
      <c r="AQ23" s="233">
        <v>0</v>
      </c>
      <c r="AR23" s="233">
        <v>0</v>
      </c>
      <c r="AS23" s="233">
        <v>0</v>
      </c>
      <c r="AT23" s="128" t="str">
        <f>IF('PI - PPG'!AK21&lt;&gt;"",'PI - PPG'!AK21," ")</f>
        <v>P</v>
      </c>
      <c r="AU23" s="237">
        <v>9</v>
      </c>
      <c r="AV23" s="237">
        <v>1</v>
      </c>
      <c r="AW23" s="232">
        <v>4</v>
      </c>
      <c r="AX23" s="232">
        <v>2</v>
      </c>
      <c r="AY23" s="232">
        <v>24</v>
      </c>
      <c r="AZ23" s="232">
        <v>0</v>
      </c>
      <c r="BA23" s="232">
        <v>0</v>
      </c>
      <c r="BB23" s="232"/>
      <c r="BC23" s="230">
        <v>4</v>
      </c>
      <c r="BD23" s="230">
        <v>0</v>
      </c>
      <c r="BE23" s="232">
        <v>0</v>
      </c>
      <c r="BF23" s="232">
        <v>0</v>
      </c>
      <c r="BG23" s="232">
        <v>1</v>
      </c>
      <c r="BH23" s="232">
        <v>1</v>
      </c>
      <c r="BI23" s="232">
        <v>2</v>
      </c>
      <c r="BJ23" s="232">
        <v>2</v>
      </c>
      <c r="BK23" s="233">
        <v>0</v>
      </c>
      <c r="BL23" s="233">
        <v>0</v>
      </c>
      <c r="BM23" s="97">
        <v>0</v>
      </c>
      <c r="BN23" s="319"/>
      <c r="BO23" s="129">
        <f>'PI - PPG'!BB21</f>
        <v>3</v>
      </c>
      <c r="BP23" s="91">
        <f t="shared" si="5"/>
        <v>11.333333333333334</v>
      </c>
      <c r="BQ23" s="91">
        <f t="shared" si="6"/>
        <v>4</v>
      </c>
      <c r="BR23" s="91">
        <f t="shared" si="7"/>
        <v>4</v>
      </c>
      <c r="BS23" s="91">
        <f t="shared" si="8"/>
        <v>1.3333333333333333</v>
      </c>
      <c r="BT23" s="91">
        <f t="shared" si="9"/>
        <v>24</v>
      </c>
      <c r="BU23" s="91">
        <f t="shared" si="10"/>
        <v>0</v>
      </c>
      <c r="BV23" s="91">
        <f t="shared" si="11"/>
        <v>0</v>
      </c>
      <c r="BW23" s="91" t="e">
        <f t="shared" si="12"/>
        <v>#DIV/0!</v>
      </c>
      <c r="BX23" s="91">
        <f t="shared" si="13"/>
        <v>3.3333333333333335</v>
      </c>
      <c r="BY23" s="91">
        <f t="shared" si="14"/>
        <v>0</v>
      </c>
      <c r="BZ23" s="91">
        <f t="shared" si="15"/>
        <v>0</v>
      </c>
      <c r="CA23" s="91">
        <f t="shared" si="16"/>
        <v>0</v>
      </c>
      <c r="CB23" s="91">
        <f t="shared" si="17"/>
        <v>0.6666666666666666</v>
      </c>
      <c r="CC23" s="91">
        <f t="shared" si="18"/>
        <v>0.3333333333333333</v>
      </c>
      <c r="CD23" s="91">
        <f t="shared" si="19"/>
        <v>2</v>
      </c>
      <c r="CE23" s="91">
        <f t="shared" si="20"/>
        <v>2.6666666666666665</v>
      </c>
      <c r="CF23" s="91">
        <f t="shared" si="21"/>
        <v>0</v>
      </c>
      <c r="CG23" s="91">
        <f t="shared" si="22"/>
        <v>0</v>
      </c>
      <c r="CH23" s="91">
        <f t="shared" si="23"/>
        <v>0</v>
      </c>
      <c r="CI23" s="119">
        <f t="shared" si="24"/>
        <v>11.333333333333334</v>
      </c>
      <c r="CJ23" s="119">
        <f t="shared" si="25"/>
        <v>34</v>
      </c>
      <c r="CK23" s="119">
        <f t="shared" si="26"/>
        <v>4</v>
      </c>
      <c r="CL23" s="119">
        <f t="shared" si="27"/>
        <v>13</v>
      </c>
      <c r="CM23" s="119">
        <f t="shared" si="28"/>
        <v>4</v>
      </c>
      <c r="CN23" s="119">
        <f t="shared" si="29"/>
        <v>12</v>
      </c>
      <c r="CO23" s="119">
        <f t="shared" si="30"/>
        <v>4</v>
      </c>
      <c r="CP23" s="119">
        <f t="shared" si="31"/>
        <v>0</v>
      </c>
      <c r="CQ23" s="119">
        <f t="shared" si="32"/>
        <v>0</v>
      </c>
      <c r="CR23" s="119">
        <f t="shared" si="33"/>
        <v>0</v>
      </c>
      <c r="CS23" s="119">
        <f t="shared" si="34"/>
        <v>3.3333333333333335</v>
      </c>
      <c r="CT23" s="119">
        <f t="shared" si="0"/>
        <v>0</v>
      </c>
      <c r="CU23" s="119">
        <f t="shared" si="1"/>
        <v>0</v>
      </c>
      <c r="CV23" s="119">
        <f t="shared" si="2"/>
        <v>1</v>
      </c>
      <c r="CW23" s="119">
        <f t="shared" si="3"/>
        <v>6</v>
      </c>
      <c r="CX23" s="119">
        <f t="shared" si="4"/>
        <v>8</v>
      </c>
    </row>
    <row r="24" spans="2:102" ht="16.5" thickBot="1">
      <c r="B24" s="30"/>
      <c r="C24" s="30"/>
      <c r="D24" s="31"/>
      <c r="E24" s="32"/>
      <c r="F24" s="33"/>
      <c r="G24" s="34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7"/>
      <c r="AA24" s="34"/>
      <c r="AB24" s="35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3"/>
      <c r="AU24" s="34"/>
      <c r="AV24" s="35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93"/>
      <c r="BO24" s="129">
        <f>'PI - PPG'!BB22</f>
        <v>47</v>
      </c>
      <c r="BP24" s="92">
        <f aca="true" t="shared" si="35" ref="BP24:CL24">SUM(BP5:BP23)/3</f>
        <v>26.11111111111111</v>
      </c>
      <c r="BQ24" s="92">
        <f t="shared" si="35"/>
        <v>13.333333333333334</v>
      </c>
      <c r="BR24" s="92">
        <f t="shared" si="35"/>
        <v>12</v>
      </c>
      <c r="BS24" s="92">
        <f t="shared" si="35"/>
        <v>4.555555555555555</v>
      </c>
      <c r="BT24" s="92" t="e">
        <f t="shared" si="35"/>
        <v>#DIV/0!</v>
      </c>
      <c r="BU24" s="92">
        <f t="shared" si="35"/>
        <v>0</v>
      </c>
      <c r="BV24" s="92">
        <f t="shared" si="35"/>
        <v>0</v>
      </c>
      <c r="BW24" s="92" t="e">
        <f t="shared" si="35"/>
        <v>#DIV/0!</v>
      </c>
      <c r="BX24" s="92">
        <f t="shared" si="35"/>
        <v>10</v>
      </c>
      <c r="BY24" s="92">
        <f t="shared" si="35"/>
        <v>0</v>
      </c>
      <c r="BZ24" s="92">
        <f t="shared" si="35"/>
        <v>0.2222222222222222</v>
      </c>
      <c r="CA24" s="92">
        <f>SUM(CA5:CA23)/3</f>
        <v>0.2222222222222222</v>
      </c>
      <c r="CB24" s="92">
        <f t="shared" si="35"/>
        <v>1.777777777777778</v>
      </c>
      <c r="CC24" s="92">
        <f t="shared" si="35"/>
        <v>5.555555555555556</v>
      </c>
      <c r="CD24" s="92">
        <f t="shared" si="35"/>
        <v>4.333333333333333</v>
      </c>
      <c r="CE24" s="92">
        <f t="shared" si="35"/>
        <v>9.222222222222221</v>
      </c>
      <c r="CF24" s="92">
        <f t="shared" si="35"/>
        <v>2.6666666666666665</v>
      </c>
      <c r="CG24" s="92">
        <f t="shared" si="35"/>
        <v>0.5555555555555556</v>
      </c>
      <c r="CH24" s="92">
        <f t="shared" si="35"/>
        <v>0</v>
      </c>
      <c r="CI24" s="92">
        <f t="shared" si="35"/>
        <v>26.11111111111111</v>
      </c>
      <c r="CJ24" s="92">
        <f t="shared" si="35"/>
        <v>78.33333333333333</v>
      </c>
      <c r="CK24" s="92">
        <f t="shared" si="35"/>
        <v>13.333333333333334</v>
      </c>
      <c r="CL24" s="92">
        <f t="shared" si="35"/>
        <v>27.666666666666668</v>
      </c>
      <c r="CM24" s="119">
        <f t="shared" si="28"/>
        <v>14.666666666666666</v>
      </c>
      <c r="CN24" s="92">
        <f>SUM(CN5:CN23)/3</f>
        <v>36</v>
      </c>
      <c r="CO24" s="92">
        <f>SUM(CO5:CO23)/3</f>
        <v>13.333333333333334</v>
      </c>
      <c r="CP24" s="119">
        <f t="shared" si="31"/>
        <v>0.5555555555555556</v>
      </c>
      <c r="CQ24" s="92">
        <f>SUM(CQ5:CQ23)/3</f>
        <v>0</v>
      </c>
      <c r="CR24" s="92">
        <f>SUM(CR5:CR23)/3</f>
        <v>0</v>
      </c>
      <c r="CS24" s="92">
        <f>SUM(CS5:CS23)/3</f>
        <v>10</v>
      </c>
      <c r="CT24" s="119">
        <f t="shared" si="0"/>
        <v>0.2222222222222222</v>
      </c>
      <c r="CU24" s="131">
        <f>SUM(CU5:CU23)/3</f>
        <v>0.6666666666666666</v>
      </c>
      <c r="CV24" s="131">
        <f>SUM(CV5:CV23)/3</f>
        <v>16.666666666666668</v>
      </c>
      <c r="CW24" s="131">
        <f>SUM(CW5:CW23)/3</f>
        <v>13</v>
      </c>
      <c r="CX24" s="131">
        <f>SUM(CX5:CX23)/3</f>
        <v>27.666666666666668</v>
      </c>
    </row>
    <row r="25" spans="5:102" ht="15.75">
      <c r="E25" s="8"/>
      <c r="F25" s="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93"/>
      <c r="BO25" s="81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132"/>
      <c r="CU25" s="132"/>
      <c r="CV25" s="132"/>
      <c r="CW25" s="132"/>
      <c r="CX25" s="132"/>
    </row>
  </sheetData>
  <sheetProtection/>
  <mergeCells count="21">
    <mergeCell ref="CI2:CX2"/>
    <mergeCell ref="BN1:BN23"/>
    <mergeCell ref="BP3:CB3"/>
    <mergeCell ref="CC3:CE3"/>
    <mergeCell ref="BP2:CH2"/>
    <mergeCell ref="G3:S3"/>
    <mergeCell ref="AU1:BM1"/>
    <mergeCell ref="AU3:BF3"/>
    <mergeCell ref="AU2:BM2"/>
    <mergeCell ref="F2:Y2"/>
    <mergeCell ref="CF3:CH3"/>
    <mergeCell ref="G1:Y1"/>
    <mergeCell ref="AA3:AL3"/>
    <mergeCell ref="W3:Y3"/>
    <mergeCell ref="AN3:AP3"/>
    <mergeCell ref="BK3:BM3"/>
    <mergeCell ref="AA2:AS2"/>
    <mergeCell ref="AA1:AS1"/>
    <mergeCell ref="BH3:BJ3"/>
    <mergeCell ref="T3:V3"/>
    <mergeCell ref="AQ3:AS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4"/>
  <sheetViews>
    <sheetView zoomScale="80" zoomScaleNormal="80" zoomScalePageLayoutView="2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8" sqref="G8"/>
    </sheetView>
  </sheetViews>
  <sheetFormatPr defaultColWidth="11.00390625" defaultRowHeight="15.75"/>
  <cols>
    <col min="1" max="1" width="8.875" style="0" customWidth="1"/>
    <col min="2" max="2" width="10.00390625" style="0" customWidth="1"/>
    <col min="3" max="3" width="4.125" style="0" customWidth="1"/>
    <col min="4" max="4" width="35.50390625" style="0" customWidth="1"/>
    <col min="5" max="5" width="5.125" style="0" bestFit="1" customWidth="1"/>
    <col min="6" max="6" width="9.625" style="0" customWidth="1"/>
    <col min="7" max="7" width="10.00390625" style="0" customWidth="1"/>
    <col min="8" max="8" width="9.50390625" style="0" customWidth="1"/>
    <col min="9" max="9" width="10.125" style="0" customWidth="1"/>
    <col min="10" max="10" width="14.50390625" style="0" customWidth="1"/>
    <col min="11" max="11" width="10.00390625" style="0" customWidth="1"/>
    <col min="12" max="12" width="11.00390625" style="0" customWidth="1"/>
    <col min="13" max="13" width="10.625" style="0" customWidth="1"/>
    <col min="14" max="14" width="8.50390625" style="0" customWidth="1"/>
    <col min="15" max="15" width="5.625" style="0" customWidth="1"/>
    <col min="16" max="16" width="5.125" style="0" bestFit="1" customWidth="1"/>
    <col min="17" max="17" width="10.00390625" style="0" customWidth="1"/>
    <col min="18" max="18" width="9.875" style="0" customWidth="1"/>
    <col min="19" max="20" width="11.00390625" style="0" customWidth="1"/>
    <col min="21" max="21" width="12.125" style="0" customWidth="1"/>
    <col min="22" max="22" width="8.875" style="0" customWidth="1"/>
    <col min="23" max="24" width="11.00390625" style="0" customWidth="1"/>
    <col min="25" max="25" width="9.625" style="0" customWidth="1"/>
    <col min="26" max="26" width="6.875" style="0" customWidth="1"/>
    <col min="27" max="27" width="5.125" style="0" bestFit="1" customWidth="1"/>
    <col min="28" max="29" width="10.125" style="0" customWidth="1"/>
    <col min="30" max="31" width="11.00390625" style="0" customWidth="1"/>
    <col min="32" max="32" width="13.375" style="0" customWidth="1"/>
    <col min="33" max="33" width="10.125" style="0" customWidth="1"/>
    <col min="34" max="35" width="10.625" style="0" customWidth="1"/>
    <col min="36" max="36" width="10.125" style="0" customWidth="1"/>
    <col min="37" max="37" width="7.125" style="0" customWidth="1"/>
    <col min="38" max="38" width="5.375" style="0" customWidth="1"/>
    <col min="39" max="39" width="7.50390625" style="0" customWidth="1"/>
    <col min="40" max="40" width="9.875" style="0" bestFit="1" customWidth="1"/>
    <col min="41" max="41" width="10.875" style="0" bestFit="1" customWidth="1"/>
    <col min="42" max="42" width="9.375" style="0" bestFit="1" customWidth="1"/>
    <col min="43" max="43" width="10.375" style="0" bestFit="1" customWidth="1"/>
    <col min="44" max="44" width="14.00390625" style="0" bestFit="1" customWidth="1"/>
    <col min="45" max="45" width="8.625" style="0" bestFit="1" customWidth="1"/>
    <col min="46" max="46" width="11.00390625" style="0" bestFit="1" customWidth="1"/>
    <col min="47" max="48" width="11.00390625" style="0" customWidth="1"/>
    <col min="49" max="49" width="9.00390625" style="0" bestFit="1" customWidth="1"/>
    <col min="50" max="50" width="5.125" style="0" customWidth="1"/>
    <col min="51" max="51" width="11.00390625" style="0" customWidth="1"/>
    <col min="52" max="52" width="9.625" style="0" bestFit="1" customWidth="1"/>
    <col min="53" max="54" width="11.00390625" style="0" customWidth="1"/>
    <col min="55" max="55" width="10.125" style="0" bestFit="1" customWidth="1"/>
    <col min="56" max="56" width="11.00390625" style="0" customWidth="1"/>
    <col min="57" max="57" width="8.375" style="0" bestFit="1" customWidth="1"/>
    <col min="58" max="58" width="11.50390625" style="0" bestFit="1" customWidth="1"/>
    <col min="59" max="59" width="10.625" style="0" bestFit="1" customWidth="1"/>
    <col min="60" max="61" width="4.50390625" style="0" customWidth="1"/>
    <col min="62" max="62" width="4.375" style="0" customWidth="1"/>
    <col min="63" max="63" width="5.125" style="0" customWidth="1"/>
    <col min="64" max="64" width="11.00390625" style="0" customWidth="1"/>
    <col min="65" max="65" width="8.375" style="0" bestFit="1" customWidth="1"/>
    <col min="66" max="66" width="7.125" style="0" customWidth="1"/>
    <col min="67" max="67" width="7.00390625" style="0" customWidth="1"/>
    <col min="68" max="68" width="7.125" style="0" customWidth="1"/>
  </cols>
  <sheetData>
    <row r="1" spans="5:50" ht="16.5" thickBot="1">
      <c r="E1" s="1"/>
      <c r="F1" s="279">
        <v>2010</v>
      </c>
      <c r="G1" s="279"/>
      <c r="H1" s="279"/>
      <c r="I1" s="279"/>
      <c r="J1" s="279"/>
      <c r="K1" s="279"/>
      <c r="L1" s="279"/>
      <c r="M1" s="279"/>
      <c r="N1" s="279"/>
      <c r="O1" s="279"/>
      <c r="P1" s="2"/>
      <c r="Q1" s="312">
        <v>2011</v>
      </c>
      <c r="R1" s="312"/>
      <c r="S1" s="312"/>
      <c r="T1" s="312"/>
      <c r="U1" s="312"/>
      <c r="V1" s="312"/>
      <c r="W1" s="312"/>
      <c r="X1" s="312"/>
      <c r="Y1" s="312"/>
      <c r="Z1" s="312"/>
      <c r="AB1" s="279">
        <v>2012</v>
      </c>
      <c r="AC1" s="279"/>
      <c r="AD1" s="279"/>
      <c r="AE1" s="279"/>
      <c r="AF1" s="279"/>
      <c r="AG1" s="279"/>
      <c r="AH1" s="279"/>
      <c r="AI1" s="279"/>
      <c r="AJ1" s="279"/>
      <c r="AK1" s="279"/>
      <c r="AL1" s="318" t="s">
        <v>135</v>
      </c>
      <c r="AM1" s="113"/>
      <c r="AN1" s="279" t="s">
        <v>85</v>
      </c>
      <c r="AO1" s="279"/>
      <c r="AP1" s="279"/>
      <c r="AQ1" s="279"/>
      <c r="AR1" s="279"/>
      <c r="AS1" s="279"/>
      <c r="AT1" s="279"/>
      <c r="AU1" s="279"/>
      <c r="AV1" s="279"/>
      <c r="AW1" s="279"/>
      <c r="AX1" s="279"/>
    </row>
    <row r="2" spans="5:50" ht="16.5" thickBot="1">
      <c r="E2" s="162"/>
      <c r="F2" s="311" t="s">
        <v>76</v>
      </c>
      <c r="G2" s="311"/>
      <c r="H2" s="311"/>
      <c r="I2" s="311"/>
      <c r="J2" s="311"/>
      <c r="K2" s="311"/>
      <c r="L2" s="311"/>
      <c r="M2" s="311"/>
      <c r="N2" s="311"/>
      <c r="O2" s="311"/>
      <c r="P2" s="66"/>
      <c r="Q2" s="311" t="s">
        <v>76</v>
      </c>
      <c r="R2" s="311"/>
      <c r="S2" s="311"/>
      <c r="T2" s="311"/>
      <c r="U2" s="311"/>
      <c r="V2" s="311"/>
      <c r="W2" s="311"/>
      <c r="X2" s="311"/>
      <c r="Y2" s="311"/>
      <c r="Z2" s="311"/>
      <c r="AA2" s="82"/>
      <c r="AB2" s="311" t="s">
        <v>76</v>
      </c>
      <c r="AC2" s="311"/>
      <c r="AD2" s="311"/>
      <c r="AE2" s="311"/>
      <c r="AF2" s="311"/>
      <c r="AG2" s="311"/>
      <c r="AH2" s="311"/>
      <c r="AI2" s="311"/>
      <c r="AJ2" s="311"/>
      <c r="AK2" s="311"/>
      <c r="AL2" s="319"/>
      <c r="AM2" s="80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</row>
    <row r="3" spans="1:50" ht="16.5" thickBot="1">
      <c r="A3" t="s">
        <v>194</v>
      </c>
      <c r="B3" t="s">
        <v>193</v>
      </c>
      <c r="D3" s="6" t="s">
        <v>2</v>
      </c>
      <c r="E3" s="99" t="s">
        <v>3</v>
      </c>
      <c r="F3" s="100" t="s">
        <v>75</v>
      </c>
      <c r="G3" s="100" t="s">
        <v>77</v>
      </c>
      <c r="H3" s="100" t="s">
        <v>78</v>
      </c>
      <c r="I3" s="100" t="s">
        <v>79</v>
      </c>
      <c r="J3" s="100" t="s">
        <v>80</v>
      </c>
      <c r="K3" s="100" t="s">
        <v>81</v>
      </c>
      <c r="L3" s="100" t="s">
        <v>200</v>
      </c>
      <c r="M3" s="100" t="s">
        <v>201</v>
      </c>
      <c r="N3" s="100" t="s">
        <v>82</v>
      </c>
      <c r="O3" s="100" t="s">
        <v>83</v>
      </c>
      <c r="P3" s="103" t="s">
        <v>3</v>
      </c>
      <c r="Q3" s="100" t="s">
        <v>75</v>
      </c>
      <c r="R3" s="100" t="s">
        <v>77</v>
      </c>
      <c r="S3" s="100" t="s">
        <v>78</v>
      </c>
      <c r="T3" s="100" t="s">
        <v>79</v>
      </c>
      <c r="U3" s="100" t="s">
        <v>80</v>
      </c>
      <c r="V3" s="100" t="s">
        <v>81</v>
      </c>
      <c r="W3" s="100" t="s">
        <v>200</v>
      </c>
      <c r="X3" s="100" t="s">
        <v>201</v>
      </c>
      <c r="Y3" s="100" t="s">
        <v>82</v>
      </c>
      <c r="Z3" s="100" t="s">
        <v>83</v>
      </c>
      <c r="AA3" s="99" t="s">
        <v>3</v>
      </c>
      <c r="AB3" s="100" t="s">
        <v>75</v>
      </c>
      <c r="AC3" s="100" t="s">
        <v>77</v>
      </c>
      <c r="AD3" s="100" t="s">
        <v>78</v>
      </c>
      <c r="AE3" s="100" t="s">
        <v>79</v>
      </c>
      <c r="AF3" s="100" t="s">
        <v>80</v>
      </c>
      <c r="AG3" s="100" t="s">
        <v>81</v>
      </c>
      <c r="AH3" s="100" t="s">
        <v>200</v>
      </c>
      <c r="AI3" s="100" t="s">
        <v>201</v>
      </c>
      <c r="AJ3" s="100" t="s">
        <v>82</v>
      </c>
      <c r="AK3" s="100" t="s">
        <v>83</v>
      </c>
      <c r="AL3" s="319"/>
      <c r="AM3" s="126" t="s">
        <v>3</v>
      </c>
      <c r="AN3" s="79" t="s">
        <v>75</v>
      </c>
      <c r="AO3" s="79" t="s">
        <v>77</v>
      </c>
      <c r="AP3" s="79" t="s">
        <v>78</v>
      </c>
      <c r="AQ3" s="79" t="s">
        <v>79</v>
      </c>
      <c r="AR3" s="79" t="s">
        <v>80</v>
      </c>
      <c r="AS3" s="79" t="s">
        <v>81</v>
      </c>
      <c r="AT3" s="170" t="s">
        <v>200</v>
      </c>
      <c r="AU3" s="170" t="s">
        <v>201</v>
      </c>
      <c r="AV3" s="170" t="s">
        <v>202</v>
      </c>
      <c r="AW3" s="79" t="s">
        <v>82</v>
      </c>
      <c r="AX3" s="100" t="s">
        <v>83</v>
      </c>
    </row>
    <row r="4" spans="1:50" ht="16.5" customHeight="1" thickBot="1">
      <c r="A4" s="25" t="str">
        <f>IF('PI - PPG'!A3&lt;&gt;"",'PI - PPG'!A3,"")</f>
        <v>EF</v>
      </c>
      <c r="B4" s="25" t="str">
        <f>IF('PI - PPG'!B3&lt;&gt;"",'PI - PPG'!B3,"")</f>
        <v>UFPB/PB</v>
      </c>
      <c r="C4" s="85">
        <v>1</v>
      </c>
      <c r="D4" s="25" t="str">
        <f>IF('PI - PPG'!D3&lt;&gt;"",'PI - PPG'!D3,"")</f>
        <v>ALEXANDRE SÉRGIO SILVA</v>
      </c>
      <c r="E4" s="128" t="s">
        <v>32</v>
      </c>
      <c r="F4" s="175">
        <v>40</v>
      </c>
      <c r="G4" s="175">
        <v>20</v>
      </c>
      <c r="H4" s="175">
        <v>12</v>
      </c>
      <c r="I4" s="175">
        <v>0</v>
      </c>
      <c r="J4" s="175">
        <v>0</v>
      </c>
      <c r="K4" s="175">
        <v>1</v>
      </c>
      <c r="L4" s="175">
        <v>0</v>
      </c>
      <c r="M4" s="175">
        <v>0</v>
      </c>
      <c r="N4" s="175">
        <v>0</v>
      </c>
      <c r="O4" s="175">
        <v>0</v>
      </c>
      <c r="P4" s="128" t="s">
        <v>32</v>
      </c>
      <c r="Q4" s="175">
        <v>40</v>
      </c>
      <c r="R4" s="175">
        <v>20</v>
      </c>
      <c r="S4" s="175">
        <v>8</v>
      </c>
      <c r="T4" s="175">
        <v>4</v>
      </c>
      <c r="U4" s="175">
        <v>1</v>
      </c>
      <c r="V4" s="175">
        <v>1</v>
      </c>
      <c r="W4" s="175">
        <v>5</v>
      </c>
      <c r="X4" s="175">
        <v>3</v>
      </c>
      <c r="Y4" s="175">
        <v>20000</v>
      </c>
      <c r="Z4" s="175">
        <v>0</v>
      </c>
      <c r="AA4" s="128" t="s">
        <v>32</v>
      </c>
      <c r="AB4" s="175">
        <v>40</v>
      </c>
      <c r="AC4" s="175">
        <v>20</v>
      </c>
      <c r="AD4" s="175">
        <v>8</v>
      </c>
      <c r="AE4" s="175">
        <v>4</v>
      </c>
      <c r="AF4" s="175">
        <v>1</v>
      </c>
      <c r="AG4" s="175">
        <v>1</v>
      </c>
      <c r="AH4" s="175">
        <v>5</v>
      </c>
      <c r="AI4" s="175">
        <v>3</v>
      </c>
      <c r="AJ4" s="175">
        <v>0</v>
      </c>
      <c r="AK4" s="175">
        <v>0</v>
      </c>
      <c r="AL4" s="319"/>
      <c r="AM4" s="129">
        <f>'PI - PPG'!BB3</f>
        <v>3</v>
      </c>
      <c r="AN4" s="26">
        <f>IF(AM4&gt;0,SUM(F4,Q4,AB4)/COUNTA(F4,Q4,AB4),"")</f>
        <v>40</v>
      </c>
      <c r="AO4" s="26">
        <f>IF(AM4&gt;0,SUM(G4,R4,AC4)/COUNTA(G4,R4,AC4),"")</f>
        <v>20</v>
      </c>
      <c r="AP4" s="26">
        <f>IF(AM4&gt;0,SUM(H4,S4,AD4)/COUNTA(H4,S4,AD4),"")</f>
        <v>9.333333333333334</v>
      </c>
      <c r="AQ4" s="26">
        <f>IF(AM4&gt;0,SUM(I4,T4,AE4)/COUNTA(I4,T4,AE4),"")</f>
        <v>2.6666666666666665</v>
      </c>
      <c r="AR4" s="26">
        <f>IF(AM4&gt;0,SUM(J4,U4,AF4)/COUNTA(J4,U4,AF4),"")</f>
        <v>0.6666666666666666</v>
      </c>
      <c r="AS4" s="26">
        <f>IF(AM4&gt;0,SUM(K4,V4,AG4)/COUNTA(K4,V4,AG4),"")</f>
        <v>1</v>
      </c>
      <c r="AT4" s="26">
        <f>IF(AM4&gt;0,SUM(L4,W4,AH4)/COUNTA(L4,W4,AH4),"")</f>
        <v>3.3333333333333335</v>
      </c>
      <c r="AU4" s="26">
        <f>IF(AM4&gt;0,SUM(M4,X4,AI4)/COUNTA(M4,X4,AI4),"")</f>
        <v>2</v>
      </c>
      <c r="AV4" s="26">
        <f>SUM(AT4:AU4)</f>
        <v>5.333333333333334</v>
      </c>
      <c r="AW4" s="26">
        <f>IF(AM4&gt;0,SUM(N4,Y4,AJ4)/COUNTA(N4,Y4,AJ4),"")</f>
        <v>6666.666666666667</v>
      </c>
      <c r="AX4" s="26">
        <f>IF(AM4&gt;0,SUM(O4,Z4,AK4)/COUNTA(O4,Z4,AK4),"")</f>
        <v>0</v>
      </c>
    </row>
    <row r="5" spans="1:50" ht="32.25" thickBot="1">
      <c r="A5" s="25" t="str">
        <f>IF('PI - PPG'!A4&lt;&gt;"",'PI - PPG'!A4,"")</f>
        <v>EF</v>
      </c>
      <c r="B5" s="25" t="str">
        <f>IF('PI - PPG'!B4&lt;&gt;"",'PI - PPG'!B4,"")</f>
        <v>UFPB/PB</v>
      </c>
      <c r="C5" s="85">
        <v>2</v>
      </c>
      <c r="D5" s="25" t="str">
        <f>IF('PI - PPG'!D4&lt;&gt;"",'PI - PPG'!D4,"")</f>
        <v>AMILTON DA CRUZ SANTOS</v>
      </c>
      <c r="E5" s="128" t="s">
        <v>32</v>
      </c>
      <c r="F5" s="181">
        <v>40</v>
      </c>
      <c r="G5" s="181">
        <v>20</v>
      </c>
      <c r="H5" s="181">
        <v>8</v>
      </c>
      <c r="I5" s="181">
        <v>4</v>
      </c>
      <c r="J5" s="181">
        <v>1</v>
      </c>
      <c r="K5" s="181">
        <v>1</v>
      </c>
      <c r="L5" s="181">
        <v>4</v>
      </c>
      <c r="M5" s="175">
        <v>3</v>
      </c>
      <c r="N5" s="181">
        <v>31750</v>
      </c>
      <c r="O5" s="181">
        <v>0</v>
      </c>
      <c r="P5" s="128" t="s">
        <v>32</v>
      </c>
      <c r="Q5" s="181">
        <v>40</v>
      </c>
      <c r="R5" s="181">
        <v>20</v>
      </c>
      <c r="S5" s="181">
        <v>8</v>
      </c>
      <c r="T5" s="181">
        <v>4</v>
      </c>
      <c r="U5" s="181">
        <v>1</v>
      </c>
      <c r="V5" s="181">
        <v>1</v>
      </c>
      <c r="W5" s="181">
        <v>4</v>
      </c>
      <c r="X5" s="175">
        <v>2</v>
      </c>
      <c r="Y5" s="181">
        <v>29400</v>
      </c>
      <c r="Z5" s="181">
        <v>0</v>
      </c>
      <c r="AA5" s="128" t="s">
        <v>32</v>
      </c>
      <c r="AB5" s="181">
        <v>40</v>
      </c>
      <c r="AC5" s="181">
        <v>20</v>
      </c>
      <c r="AD5" s="181">
        <v>8</v>
      </c>
      <c r="AE5" s="181">
        <v>4</v>
      </c>
      <c r="AF5" s="181">
        <v>1</v>
      </c>
      <c r="AG5" s="181">
        <v>1</v>
      </c>
      <c r="AH5" s="181">
        <v>3</v>
      </c>
      <c r="AI5" s="175">
        <v>2</v>
      </c>
      <c r="AJ5" s="181">
        <v>0</v>
      </c>
      <c r="AK5" s="181">
        <v>0</v>
      </c>
      <c r="AL5" s="319"/>
      <c r="AM5" s="129">
        <f>'PI - PPG'!BB4</f>
        <v>3</v>
      </c>
      <c r="AN5" s="26">
        <f aca="true" t="shared" si="0" ref="AN5:AN22">IF(AM5&gt;0,SUM(F5,Q5,AB5)/COUNTA(F5,Q5,AB5),"")</f>
        <v>40</v>
      </c>
      <c r="AO5" s="26">
        <f aca="true" t="shared" si="1" ref="AO5:AO22">IF(AM5&gt;0,SUM(G5,R5,AC5)/COUNTA(G5,R5,AC5),"")</f>
        <v>20</v>
      </c>
      <c r="AP5" s="26">
        <f aca="true" t="shared" si="2" ref="AP5:AP22">IF(AM5&gt;0,SUM(H5,S5,AD5)/COUNTA(H5,S5,AD5),"")</f>
        <v>8</v>
      </c>
      <c r="AQ5" s="26">
        <f aca="true" t="shared" si="3" ref="AQ5:AQ22">IF(AM5&gt;0,SUM(I5,T5,AE5)/COUNTA(I5,T5,AE5),"")</f>
        <v>4</v>
      </c>
      <c r="AR5" s="26">
        <f aca="true" t="shared" si="4" ref="AR5:AR22">IF(AM5&gt;0,SUM(J5,U5,AF5)/COUNTA(J5,U5,AF5),"")</f>
        <v>1</v>
      </c>
      <c r="AS5" s="26">
        <f aca="true" t="shared" si="5" ref="AS5:AS22">IF(AM5&gt;0,SUM(K5,V5,AG5)/COUNTA(K5,V5,AG5),"")</f>
        <v>1</v>
      </c>
      <c r="AT5" s="26">
        <f aca="true" t="shared" si="6" ref="AT5:AT22">IF(AM5&gt;0,SUM(L5,W5,AH5)/COUNTA(L5,W5,AH5),"")</f>
        <v>3.6666666666666665</v>
      </c>
      <c r="AU5" s="26">
        <f aca="true" t="shared" si="7" ref="AU5:AU22">IF(AM5&gt;0,SUM(M5,X5,AI5)/COUNTA(M5,X5,AI5),"")</f>
        <v>2.3333333333333335</v>
      </c>
      <c r="AV5" s="26">
        <f aca="true" t="shared" si="8" ref="AV5:AV22">SUM(AT5:AU5)</f>
        <v>6</v>
      </c>
      <c r="AW5" s="26">
        <f aca="true" t="shared" si="9" ref="AW5:AW22">IF(AM5&gt;0,SUM(N5,Y5,AJ5)/COUNTA(N5,Y5,AJ5),"")</f>
        <v>20383.333333333332</v>
      </c>
      <c r="AX5" s="26">
        <f aca="true" t="shared" si="10" ref="AX5:AX22">IF(AM5&gt;0,SUM(O5,Z5,AK5)/COUNTA(O5,Z5,AK5),"")</f>
        <v>0</v>
      </c>
    </row>
    <row r="6" spans="1:50" ht="32.25" thickBot="1">
      <c r="A6" s="25" t="str">
        <f>IF('PI - PPG'!A5&lt;&gt;"",'PI - PPG'!A5,"")</f>
        <v>EF</v>
      </c>
      <c r="B6" s="25" t="str">
        <f>IF('PI - PPG'!B5&lt;&gt;"",'PI - PPG'!B5,"")</f>
        <v>UFPB/PB</v>
      </c>
      <c r="C6" s="85">
        <v>3</v>
      </c>
      <c r="D6" s="25" t="str">
        <f>IF('PI - PPG'!D5&lt;&gt;"",'PI - PPG'!D5,"")</f>
        <v>CAROLINE OLIVEIRA MARTINS</v>
      </c>
      <c r="E6" s="128" t="s">
        <v>219</v>
      </c>
      <c r="F6" s="182">
        <v>40</v>
      </c>
      <c r="G6" s="182">
        <v>20</v>
      </c>
      <c r="H6" s="182">
        <v>8</v>
      </c>
      <c r="I6" s="182">
        <v>0</v>
      </c>
      <c r="J6" s="182">
        <v>0</v>
      </c>
      <c r="K6" s="182">
        <v>1</v>
      </c>
      <c r="L6" s="182">
        <v>1</v>
      </c>
      <c r="M6" s="175">
        <v>0</v>
      </c>
      <c r="N6" s="182">
        <v>0</v>
      </c>
      <c r="O6" s="182">
        <v>0</v>
      </c>
      <c r="P6" s="128" t="s">
        <v>219</v>
      </c>
      <c r="Q6" s="182">
        <v>40</v>
      </c>
      <c r="R6" s="182">
        <v>20</v>
      </c>
      <c r="S6" s="182">
        <v>8</v>
      </c>
      <c r="T6" s="182">
        <v>0</v>
      </c>
      <c r="U6" s="182">
        <v>0</v>
      </c>
      <c r="V6" s="182">
        <v>1</v>
      </c>
      <c r="W6" s="182">
        <v>1</v>
      </c>
      <c r="X6" s="175">
        <v>0</v>
      </c>
      <c r="Y6" s="182">
        <v>0</v>
      </c>
      <c r="Z6" s="182">
        <v>0</v>
      </c>
      <c r="AA6" s="128" t="s">
        <v>219</v>
      </c>
      <c r="AB6" s="182">
        <v>40</v>
      </c>
      <c r="AC6" s="182">
        <v>20</v>
      </c>
      <c r="AD6" s="182">
        <v>8</v>
      </c>
      <c r="AE6" s="182">
        <v>0</v>
      </c>
      <c r="AF6" s="182">
        <v>0</v>
      </c>
      <c r="AG6" s="182">
        <v>1</v>
      </c>
      <c r="AH6" s="182">
        <v>1</v>
      </c>
      <c r="AI6" s="175">
        <v>0</v>
      </c>
      <c r="AJ6" s="182">
        <v>0</v>
      </c>
      <c r="AK6" s="182">
        <v>0</v>
      </c>
      <c r="AL6" s="319"/>
      <c r="AM6" s="129">
        <f>'PI - PPG'!BB5</f>
        <v>0</v>
      </c>
      <c r="AN6" s="26">
        <f t="shared" si="0"/>
      </c>
      <c r="AO6" s="26">
        <f t="shared" si="1"/>
      </c>
      <c r="AP6" s="26">
        <f t="shared" si="2"/>
      </c>
      <c r="AQ6" s="26">
        <f t="shared" si="3"/>
      </c>
      <c r="AR6" s="26">
        <f t="shared" si="4"/>
      </c>
      <c r="AS6" s="26">
        <f t="shared" si="5"/>
      </c>
      <c r="AT6" s="26">
        <f t="shared" si="6"/>
      </c>
      <c r="AU6" s="26">
        <f t="shared" si="7"/>
      </c>
      <c r="AV6" s="26">
        <f t="shared" si="8"/>
        <v>0</v>
      </c>
      <c r="AW6" s="26">
        <f t="shared" si="9"/>
      </c>
      <c r="AX6" s="26">
        <f t="shared" si="10"/>
      </c>
    </row>
    <row r="7" spans="1:50" ht="18.75" customHeight="1" thickBot="1">
      <c r="A7" s="25" t="str">
        <f>IF('PI - PPG'!A6&lt;&gt;"",'PI - PPG'!A6,"")</f>
        <v>EF</v>
      </c>
      <c r="B7" s="25" t="str">
        <f>IF('PI - PPG'!B6&lt;&gt;"",'PI - PPG'!B6,"")</f>
        <v>UPE/PE</v>
      </c>
      <c r="C7" s="85">
        <v>4</v>
      </c>
      <c r="D7" s="25" t="str">
        <f>IF('PI - PPG'!D6&lt;&gt;"",'PI - PPG'!D6,"")</f>
        <v>CLARA M. MONTEIRO S. DE FREITAS</v>
      </c>
      <c r="E7" s="128" t="str">
        <f>IF('PI - PPG'!E6&lt;&gt;"",'PI - PPG'!E6," ")</f>
        <v>P</v>
      </c>
      <c r="F7" s="181">
        <v>40</v>
      </c>
      <c r="G7" s="181">
        <v>20</v>
      </c>
      <c r="H7" s="181">
        <v>5</v>
      </c>
      <c r="I7" s="181">
        <v>4</v>
      </c>
      <c r="J7" s="181">
        <v>1</v>
      </c>
      <c r="K7" s="181">
        <v>1</v>
      </c>
      <c r="L7" s="181">
        <v>8</v>
      </c>
      <c r="M7" s="175">
        <v>0</v>
      </c>
      <c r="N7" s="181">
        <v>48000</v>
      </c>
      <c r="O7" s="181">
        <v>0</v>
      </c>
      <c r="P7" s="128" t="str">
        <f>IF('PI - PPG'!U6&lt;&gt;"",'PI - PPG'!U6," ")</f>
        <v>P</v>
      </c>
      <c r="Q7" s="181">
        <v>40</v>
      </c>
      <c r="R7" s="181">
        <v>20</v>
      </c>
      <c r="S7" s="181">
        <v>5</v>
      </c>
      <c r="T7" s="181">
        <v>4</v>
      </c>
      <c r="U7" s="181">
        <v>1</v>
      </c>
      <c r="V7" s="181">
        <v>1</v>
      </c>
      <c r="W7" s="181">
        <v>11</v>
      </c>
      <c r="X7" s="175">
        <v>0</v>
      </c>
      <c r="Y7" s="181">
        <v>0</v>
      </c>
      <c r="Z7" s="181">
        <v>0</v>
      </c>
      <c r="AA7" s="128" t="str">
        <f>IF('PI - PPG'!AK6&lt;&gt;"",'PI - PPG'!AK6," ")</f>
        <v>P</v>
      </c>
      <c r="AB7" s="181">
        <v>40</v>
      </c>
      <c r="AC7" s="181">
        <v>20</v>
      </c>
      <c r="AD7" s="181">
        <v>5</v>
      </c>
      <c r="AE7" s="181">
        <v>4</v>
      </c>
      <c r="AF7" s="181">
        <v>1</v>
      </c>
      <c r="AG7" s="181">
        <v>1</v>
      </c>
      <c r="AH7" s="181">
        <v>12</v>
      </c>
      <c r="AI7" s="175">
        <v>0</v>
      </c>
      <c r="AJ7" s="181">
        <v>0</v>
      </c>
      <c r="AK7" s="181">
        <v>0</v>
      </c>
      <c r="AL7" s="319"/>
      <c r="AM7" s="129">
        <f>'PI - PPG'!BB6</f>
        <v>3</v>
      </c>
      <c r="AN7" s="26">
        <f t="shared" si="0"/>
        <v>40</v>
      </c>
      <c r="AO7" s="26">
        <f t="shared" si="1"/>
        <v>20</v>
      </c>
      <c r="AP7" s="26">
        <f t="shared" si="2"/>
        <v>5</v>
      </c>
      <c r="AQ7" s="26">
        <f t="shared" si="3"/>
        <v>4</v>
      </c>
      <c r="AR7" s="26">
        <f t="shared" si="4"/>
        <v>1</v>
      </c>
      <c r="AS7" s="26">
        <f t="shared" si="5"/>
        <v>1</v>
      </c>
      <c r="AT7" s="26">
        <f t="shared" si="6"/>
        <v>10.333333333333334</v>
      </c>
      <c r="AU7" s="26">
        <f t="shared" si="7"/>
        <v>0</v>
      </c>
      <c r="AV7" s="26">
        <f t="shared" si="8"/>
        <v>10.333333333333334</v>
      </c>
      <c r="AW7" s="26">
        <f t="shared" si="9"/>
        <v>16000</v>
      </c>
      <c r="AX7" s="26">
        <f t="shared" si="10"/>
        <v>0</v>
      </c>
    </row>
    <row r="8" spans="1:50" ht="32.25" thickBot="1">
      <c r="A8" s="25" t="str">
        <f>IF('PI - PPG'!A7&lt;&gt;"",'PI - PPG'!A7,"")</f>
        <v>EF</v>
      </c>
      <c r="B8" s="25" t="str">
        <f>IF('PI - PPG'!B7&lt;&gt;"",'PI - PPG'!B7,"")</f>
        <v>UFPB/PB</v>
      </c>
      <c r="C8" s="85">
        <v>5</v>
      </c>
      <c r="D8" s="25" t="str">
        <f>IF('PI - PPG'!D7&lt;&gt;"",'PI - PPG'!D7,"")</f>
        <v>DANIELA KARINA DA SILVA</v>
      </c>
      <c r="E8" s="128" t="s">
        <v>219</v>
      </c>
      <c r="F8" s="181">
        <v>40</v>
      </c>
      <c r="G8" s="181">
        <v>20</v>
      </c>
      <c r="H8" s="181">
        <v>12</v>
      </c>
      <c r="I8" s="181">
        <v>0</v>
      </c>
      <c r="J8" s="181">
        <v>0</v>
      </c>
      <c r="K8" s="181">
        <v>1</v>
      </c>
      <c r="L8" s="181">
        <v>1</v>
      </c>
      <c r="M8" s="175">
        <v>0</v>
      </c>
      <c r="N8" s="181">
        <v>0</v>
      </c>
      <c r="O8" s="181">
        <v>0</v>
      </c>
      <c r="P8" s="128" t="s">
        <v>219</v>
      </c>
      <c r="Q8" s="181">
        <v>40</v>
      </c>
      <c r="R8" s="181">
        <v>20</v>
      </c>
      <c r="S8" s="181">
        <v>12</v>
      </c>
      <c r="T8" s="181">
        <v>0</v>
      </c>
      <c r="U8" s="181">
        <v>0</v>
      </c>
      <c r="V8" s="181">
        <v>1</v>
      </c>
      <c r="W8" s="181">
        <v>1</v>
      </c>
      <c r="X8" s="175">
        <v>0</v>
      </c>
      <c r="Y8" s="181">
        <v>0</v>
      </c>
      <c r="Z8" s="181">
        <v>0</v>
      </c>
      <c r="AA8" s="128" t="s">
        <v>219</v>
      </c>
      <c r="AB8" s="181">
        <v>40</v>
      </c>
      <c r="AC8" s="181">
        <v>20</v>
      </c>
      <c r="AD8" s="181">
        <v>12</v>
      </c>
      <c r="AE8" s="181">
        <v>0</v>
      </c>
      <c r="AF8" s="181">
        <v>0</v>
      </c>
      <c r="AG8" s="181">
        <v>1</v>
      </c>
      <c r="AH8" s="181">
        <v>1</v>
      </c>
      <c r="AI8" s="175">
        <v>0</v>
      </c>
      <c r="AJ8" s="181">
        <v>0</v>
      </c>
      <c r="AK8" s="181">
        <v>0</v>
      </c>
      <c r="AL8" s="319"/>
      <c r="AM8" s="129">
        <f>'PI - PPG'!BB7</f>
        <v>0</v>
      </c>
      <c r="AN8" s="26">
        <f t="shared" si="0"/>
      </c>
      <c r="AO8" s="26">
        <f t="shared" si="1"/>
      </c>
      <c r="AP8" s="26">
        <f t="shared" si="2"/>
      </c>
      <c r="AQ8" s="26">
        <f t="shared" si="3"/>
      </c>
      <c r="AR8" s="26">
        <f t="shared" si="4"/>
      </c>
      <c r="AS8" s="26">
        <f t="shared" si="5"/>
      </c>
      <c r="AT8" s="26">
        <f t="shared" si="6"/>
      </c>
      <c r="AU8" s="26">
        <f t="shared" si="7"/>
      </c>
      <c r="AV8" s="26">
        <f t="shared" si="8"/>
        <v>0</v>
      </c>
      <c r="AW8" s="26">
        <f t="shared" si="9"/>
      </c>
      <c r="AX8" s="26">
        <f t="shared" si="10"/>
      </c>
    </row>
    <row r="9" spans="1:50" ht="18" customHeight="1" thickBot="1">
      <c r="A9" s="25" t="str">
        <f>IF('PI - PPG'!A8&lt;&gt;"",'PI - PPG'!A8,"")</f>
        <v>EF</v>
      </c>
      <c r="B9" s="25" t="str">
        <f>IF('PI - PPG'!B8&lt;&gt;"",'PI - PPG'!B8,"")</f>
        <v>UPE/PE</v>
      </c>
      <c r="C9" s="85">
        <v>6</v>
      </c>
      <c r="D9" s="25" t="str">
        <f>IF('PI - PPG'!D8&lt;&gt;"",'PI - PPG'!D8,"")</f>
        <v>FERNANDO J. DE SÁ P. GUIMARÃES</v>
      </c>
      <c r="E9" s="128" t="str">
        <f>IF('PI - PPG'!E8&lt;&gt;"",'PI - PPG'!E8," ")</f>
        <v>C</v>
      </c>
      <c r="F9" s="181">
        <v>40</v>
      </c>
      <c r="G9" s="181">
        <v>20</v>
      </c>
      <c r="H9" s="181">
        <v>8</v>
      </c>
      <c r="I9" s="181">
        <v>0</v>
      </c>
      <c r="J9" s="181">
        <v>0</v>
      </c>
      <c r="K9" s="181">
        <v>0</v>
      </c>
      <c r="L9" s="181">
        <v>0</v>
      </c>
      <c r="M9" s="175">
        <v>1</v>
      </c>
      <c r="N9" s="181">
        <v>0</v>
      </c>
      <c r="O9" s="181">
        <v>0</v>
      </c>
      <c r="P9" s="128" t="str">
        <f>IF('PI - PPG'!U8&lt;&gt;"",'PI - PPG'!U8," ")</f>
        <v>C</v>
      </c>
      <c r="Q9" s="181">
        <v>40</v>
      </c>
      <c r="R9" s="181">
        <v>20</v>
      </c>
      <c r="S9" s="181">
        <v>8</v>
      </c>
      <c r="T9" s="181">
        <v>0</v>
      </c>
      <c r="U9" s="181">
        <v>0</v>
      </c>
      <c r="V9" s="181">
        <v>0</v>
      </c>
      <c r="W9" s="181">
        <v>0</v>
      </c>
      <c r="X9" s="175">
        <v>1</v>
      </c>
      <c r="Y9" s="181">
        <v>0</v>
      </c>
      <c r="Z9" s="181">
        <v>0</v>
      </c>
      <c r="AA9" s="128" t="str">
        <f>IF('PI - PPG'!AK8&lt;&gt;"",'PI - PPG'!AK8," ")</f>
        <v>C</v>
      </c>
      <c r="AB9" s="181">
        <v>40</v>
      </c>
      <c r="AC9" s="181">
        <v>20</v>
      </c>
      <c r="AD9" s="181">
        <v>8</v>
      </c>
      <c r="AE9" s="181">
        <v>0</v>
      </c>
      <c r="AF9" s="181">
        <v>0</v>
      </c>
      <c r="AG9" s="181">
        <v>0</v>
      </c>
      <c r="AH9" s="181">
        <v>0</v>
      </c>
      <c r="AI9" s="175">
        <v>1</v>
      </c>
      <c r="AJ9" s="181">
        <v>0</v>
      </c>
      <c r="AK9" s="181">
        <v>0</v>
      </c>
      <c r="AL9" s="319"/>
      <c r="AM9" s="129">
        <f>'PI - PPG'!BB8</f>
        <v>0</v>
      </c>
      <c r="AN9" s="26">
        <f t="shared" si="0"/>
      </c>
      <c r="AO9" s="26">
        <f t="shared" si="1"/>
      </c>
      <c r="AP9" s="26">
        <f t="shared" si="2"/>
      </c>
      <c r="AQ9" s="26">
        <f t="shared" si="3"/>
      </c>
      <c r="AR9" s="26">
        <f t="shared" si="4"/>
      </c>
      <c r="AS9" s="26">
        <f t="shared" si="5"/>
      </c>
      <c r="AT9" s="26">
        <f t="shared" si="6"/>
      </c>
      <c r="AU9" s="26">
        <f t="shared" si="7"/>
      </c>
      <c r="AV9" s="26">
        <f t="shared" si="8"/>
        <v>0</v>
      </c>
      <c r="AW9" s="26">
        <f t="shared" si="9"/>
      </c>
      <c r="AX9" s="26">
        <f t="shared" si="10"/>
      </c>
    </row>
    <row r="10" spans="1:50" ht="16.5" customHeight="1" thickBot="1">
      <c r="A10" s="25" t="str">
        <f>IF('PI - PPG'!A9&lt;&gt;"",'PI - PPG'!A9,"")</f>
        <v>EF</v>
      </c>
      <c r="B10" s="25" t="str">
        <f>IF('PI - PPG'!B9&lt;&gt;"",'PI - PPG'!B9,"")</f>
        <v>UFPB/PB</v>
      </c>
      <c r="C10" s="85">
        <v>7</v>
      </c>
      <c r="D10" s="25" t="str">
        <f>IF('PI - PPG'!D9&lt;&gt;"",'PI - PPG'!D9,"")</f>
        <v>IRAQUITAN DE OLIVEIRA CAMINHA</v>
      </c>
      <c r="E10" s="128" t="s">
        <v>32</v>
      </c>
      <c r="F10" s="181">
        <v>40</v>
      </c>
      <c r="G10" s="181">
        <v>20</v>
      </c>
      <c r="H10" s="181">
        <v>9</v>
      </c>
      <c r="I10" s="181">
        <v>4</v>
      </c>
      <c r="J10" s="181">
        <v>1</v>
      </c>
      <c r="K10" s="181">
        <v>1</v>
      </c>
      <c r="L10" s="181">
        <v>2</v>
      </c>
      <c r="M10" s="175">
        <v>1</v>
      </c>
      <c r="N10" s="181">
        <v>0</v>
      </c>
      <c r="O10" s="181">
        <v>0</v>
      </c>
      <c r="P10" s="128" t="s">
        <v>32</v>
      </c>
      <c r="Q10" s="181">
        <v>40</v>
      </c>
      <c r="R10" s="181">
        <v>20</v>
      </c>
      <c r="S10" s="181">
        <v>9</v>
      </c>
      <c r="T10" s="181">
        <v>4</v>
      </c>
      <c r="U10" s="181">
        <v>1</v>
      </c>
      <c r="V10" s="181">
        <v>1</v>
      </c>
      <c r="W10" s="181">
        <v>2</v>
      </c>
      <c r="X10" s="175">
        <v>1</v>
      </c>
      <c r="Y10" s="181">
        <v>0</v>
      </c>
      <c r="Z10" s="181">
        <v>0</v>
      </c>
      <c r="AA10" s="128" t="s">
        <v>32</v>
      </c>
      <c r="AB10" s="181">
        <v>40</v>
      </c>
      <c r="AC10" s="181">
        <v>20</v>
      </c>
      <c r="AD10" s="181">
        <v>9</v>
      </c>
      <c r="AE10" s="181">
        <v>4</v>
      </c>
      <c r="AF10" s="181">
        <v>1</v>
      </c>
      <c r="AG10" s="181">
        <v>1</v>
      </c>
      <c r="AH10" s="181">
        <v>2</v>
      </c>
      <c r="AI10" s="175">
        <v>1</v>
      </c>
      <c r="AJ10" s="181">
        <v>0</v>
      </c>
      <c r="AK10" s="181">
        <v>0</v>
      </c>
      <c r="AL10" s="319"/>
      <c r="AM10" s="129">
        <f>'PI - PPG'!BB9</f>
        <v>3</v>
      </c>
      <c r="AN10" s="26">
        <f t="shared" si="0"/>
        <v>40</v>
      </c>
      <c r="AO10" s="26">
        <f t="shared" si="1"/>
        <v>20</v>
      </c>
      <c r="AP10" s="26">
        <f t="shared" si="2"/>
        <v>9</v>
      </c>
      <c r="AQ10" s="26">
        <f t="shared" si="3"/>
        <v>4</v>
      </c>
      <c r="AR10" s="26">
        <f t="shared" si="4"/>
        <v>1</v>
      </c>
      <c r="AS10" s="26">
        <f t="shared" si="5"/>
        <v>1</v>
      </c>
      <c r="AT10" s="26">
        <f t="shared" si="6"/>
        <v>2</v>
      </c>
      <c r="AU10" s="26">
        <f t="shared" si="7"/>
        <v>1</v>
      </c>
      <c r="AV10" s="26">
        <f t="shared" si="8"/>
        <v>3</v>
      </c>
      <c r="AW10" s="26">
        <f t="shared" si="9"/>
        <v>0</v>
      </c>
      <c r="AX10" s="26">
        <f t="shared" si="10"/>
        <v>0</v>
      </c>
    </row>
    <row r="11" spans="1:50" ht="32.25" thickBot="1">
      <c r="A11" s="25" t="str">
        <f>IF('PI - PPG'!A10&lt;&gt;"",'PI - PPG'!A10,"")</f>
        <v>EF</v>
      </c>
      <c r="B11" s="25" t="str">
        <f>IF('PI - PPG'!B10&lt;&gt;"",'PI - PPG'!B10,"")</f>
        <v>UFPB/PB</v>
      </c>
      <c r="C11" s="85">
        <v>8</v>
      </c>
      <c r="D11" s="25" t="str">
        <f>IF('PI - PPG'!D10&lt;&gt;"",'PI - PPG'!D10,"")</f>
        <v>JOSÉ CAZUZA DE FARIAS JÚNIOR</v>
      </c>
      <c r="E11" s="128" t="s">
        <v>32</v>
      </c>
      <c r="F11" s="181">
        <v>40</v>
      </c>
      <c r="G11" s="181">
        <v>20</v>
      </c>
      <c r="H11" s="181">
        <v>10</v>
      </c>
      <c r="I11" s="181">
        <v>0</v>
      </c>
      <c r="J11" s="181">
        <v>2</v>
      </c>
      <c r="K11" s="181">
        <v>1</v>
      </c>
      <c r="L11" s="181">
        <v>1</v>
      </c>
      <c r="M11" s="175">
        <v>2</v>
      </c>
      <c r="N11" s="181">
        <v>0</v>
      </c>
      <c r="O11" s="181">
        <v>0</v>
      </c>
      <c r="P11" s="128" t="s">
        <v>32</v>
      </c>
      <c r="Q11" s="181">
        <v>40</v>
      </c>
      <c r="R11" s="181">
        <v>20</v>
      </c>
      <c r="S11" s="181">
        <v>9</v>
      </c>
      <c r="T11" s="181">
        <v>4</v>
      </c>
      <c r="U11" s="181">
        <v>2</v>
      </c>
      <c r="V11" s="181">
        <v>1</v>
      </c>
      <c r="W11" s="181">
        <v>1</v>
      </c>
      <c r="X11" s="175">
        <v>2</v>
      </c>
      <c r="Y11" s="181">
        <v>0</v>
      </c>
      <c r="Z11" s="181">
        <v>0</v>
      </c>
      <c r="AA11" s="128" t="s">
        <v>32</v>
      </c>
      <c r="AB11" s="181">
        <v>40</v>
      </c>
      <c r="AC11" s="181">
        <v>20</v>
      </c>
      <c r="AD11" s="181">
        <v>9</v>
      </c>
      <c r="AE11" s="181">
        <v>4</v>
      </c>
      <c r="AF11" s="181">
        <v>2</v>
      </c>
      <c r="AG11" s="181">
        <v>1</v>
      </c>
      <c r="AH11" s="181">
        <v>1</v>
      </c>
      <c r="AI11" s="175">
        <v>2</v>
      </c>
      <c r="AJ11" s="181">
        <v>150000</v>
      </c>
      <c r="AK11" s="181">
        <v>0</v>
      </c>
      <c r="AL11" s="319"/>
      <c r="AM11" s="129">
        <f>'PI - PPG'!BB10</f>
        <v>3</v>
      </c>
      <c r="AN11" s="26">
        <f t="shared" si="0"/>
        <v>40</v>
      </c>
      <c r="AO11" s="26">
        <f t="shared" si="1"/>
        <v>20</v>
      </c>
      <c r="AP11" s="26">
        <f t="shared" si="2"/>
        <v>9.333333333333334</v>
      </c>
      <c r="AQ11" s="26">
        <f t="shared" si="3"/>
        <v>2.6666666666666665</v>
      </c>
      <c r="AR11" s="26">
        <f t="shared" si="4"/>
        <v>2</v>
      </c>
      <c r="AS11" s="26">
        <f t="shared" si="5"/>
        <v>1</v>
      </c>
      <c r="AT11" s="26">
        <f t="shared" si="6"/>
        <v>1</v>
      </c>
      <c r="AU11" s="26">
        <f t="shared" si="7"/>
        <v>2</v>
      </c>
      <c r="AV11" s="26">
        <f t="shared" si="8"/>
        <v>3</v>
      </c>
      <c r="AW11" s="26">
        <f t="shared" si="9"/>
        <v>50000</v>
      </c>
      <c r="AX11" s="26">
        <f t="shared" si="10"/>
        <v>0</v>
      </c>
    </row>
    <row r="12" spans="1:50" ht="16.5" thickBot="1">
      <c r="A12" s="25" t="str">
        <f>IF('PI - PPG'!A11&lt;&gt;"",'PI - PPG'!A11,"")</f>
        <v>EF</v>
      </c>
      <c r="B12" s="25" t="str">
        <f>IF('PI - PPG'!B11&lt;&gt;"",'PI - PPG'!B11,"")</f>
        <v>UPE/PE</v>
      </c>
      <c r="C12" s="85">
        <v>9</v>
      </c>
      <c r="D12" s="25" t="str">
        <f>IF('PI - PPG'!D11&lt;&gt;"",'PI - PPG'!D11,"")</f>
        <v>MANOEL DA CUNHA COSTA</v>
      </c>
      <c r="E12" s="128" t="str">
        <f>IF('PI - PPG'!E11&lt;&gt;"",'PI - PPG'!E11," ")</f>
        <v>P</v>
      </c>
      <c r="F12" s="181">
        <v>40</v>
      </c>
      <c r="G12" s="181">
        <v>20</v>
      </c>
      <c r="H12" s="181">
        <v>10</v>
      </c>
      <c r="I12" s="181">
        <v>4</v>
      </c>
      <c r="J12" s="181">
        <v>1</v>
      </c>
      <c r="K12" s="181">
        <v>1</v>
      </c>
      <c r="L12" s="181">
        <v>2</v>
      </c>
      <c r="M12" s="175">
        <v>0</v>
      </c>
      <c r="N12" s="181">
        <v>5000</v>
      </c>
      <c r="O12" s="181">
        <v>0</v>
      </c>
      <c r="P12" s="128" t="str">
        <f>IF('PI - PPG'!U11&lt;&gt;"",'PI - PPG'!U11," ")</f>
        <v>P</v>
      </c>
      <c r="Q12" s="181">
        <v>40</v>
      </c>
      <c r="R12" s="181">
        <v>20</v>
      </c>
      <c r="S12" s="181">
        <v>10</v>
      </c>
      <c r="T12" s="181">
        <v>4</v>
      </c>
      <c r="U12" s="181">
        <v>1</v>
      </c>
      <c r="V12" s="181">
        <v>1</v>
      </c>
      <c r="W12" s="181">
        <v>4</v>
      </c>
      <c r="X12" s="175">
        <v>0</v>
      </c>
      <c r="Y12" s="181">
        <v>65000</v>
      </c>
      <c r="Z12" s="181">
        <v>0</v>
      </c>
      <c r="AA12" s="128" t="str">
        <f>IF('PI - PPG'!AK11&lt;&gt;"",'PI - PPG'!AK11," ")</f>
        <v>P</v>
      </c>
      <c r="AB12" s="181">
        <v>40</v>
      </c>
      <c r="AC12" s="181">
        <v>20</v>
      </c>
      <c r="AD12" s="181">
        <v>10</v>
      </c>
      <c r="AE12" s="181">
        <v>4</v>
      </c>
      <c r="AF12" s="181">
        <v>1</v>
      </c>
      <c r="AG12" s="181">
        <v>1</v>
      </c>
      <c r="AH12" s="181">
        <v>4</v>
      </c>
      <c r="AI12" s="175">
        <v>0</v>
      </c>
      <c r="AJ12" s="181">
        <v>0</v>
      </c>
      <c r="AK12" s="181">
        <v>0</v>
      </c>
      <c r="AL12" s="319"/>
      <c r="AM12" s="129">
        <f>'PI - PPG'!BB11</f>
        <v>3</v>
      </c>
      <c r="AN12" s="26">
        <f t="shared" si="0"/>
        <v>40</v>
      </c>
      <c r="AO12" s="26">
        <f t="shared" si="1"/>
        <v>20</v>
      </c>
      <c r="AP12" s="26">
        <f t="shared" si="2"/>
        <v>10</v>
      </c>
      <c r="AQ12" s="26">
        <f t="shared" si="3"/>
        <v>4</v>
      </c>
      <c r="AR12" s="26">
        <f t="shared" si="4"/>
        <v>1</v>
      </c>
      <c r="AS12" s="26">
        <f t="shared" si="5"/>
        <v>1</v>
      </c>
      <c r="AT12" s="26">
        <f t="shared" si="6"/>
        <v>3.3333333333333335</v>
      </c>
      <c r="AU12" s="26">
        <f t="shared" si="7"/>
        <v>0</v>
      </c>
      <c r="AV12" s="26">
        <f t="shared" si="8"/>
        <v>3.3333333333333335</v>
      </c>
      <c r="AW12" s="26">
        <f t="shared" si="9"/>
        <v>23333.333333333332</v>
      </c>
      <c r="AX12" s="26">
        <f t="shared" si="10"/>
        <v>0</v>
      </c>
    </row>
    <row r="13" spans="1:50" ht="16.5" thickBot="1">
      <c r="A13" s="25" t="str">
        <f>IF('PI - PPG'!A12&lt;&gt;"",'PI - PPG'!A12,"")</f>
        <v>EF</v>
      </c>
      <c r="B13" s="25" t="str">
        <f>IF('PI - PPG'!B12&lt;&gt;"",'PI - PPG'!B12,"")</f>
        <v>UPE/PE</v>
      </c>
      <c r="C13" s="85">
        <v>10</v>
      </c>
      <c r="D13" s="25" t="str">
        <f>IF('PI - PPG'!D12&lt;&gt;"",'PI - PPG'!D12,"")</f>
        <v>MARCELO SOARES T. DE MELO</v>
      </c>
      <c r="E13" s="128" t="str">
        <f>IF('PI - PPG'!E12&lt;&gt;"",'PI - PPG'!E12," ")</f>
        <v>P</v>
      </c>
      <c r="F13" s="181">
        <v>40</v>
      </c>
      <c r="G13" s="181">
        <v>20</v>
      </c>
      <c r="H13" s="181">
        <v>8</v>
      </c>
      <c r="I13" s="181">
        <v>4</v>
      </c>
      <c r="J13" s="181">
        <v>1</v>
      </c>
      <c r="K13" s="181">
        <v>1</v>
      </c>
      <c r="L13" s="181">
        <v>0</v>
      </c>
      <c r="M13" s="175">
        <v>2</v>
      </c>
      <c r="N13" s="181">
        <v>0</v>
      </c>
      <c r="O13" s="181">
        <v>0</v>
      </c>
      <c r="P13" s="128" t="str">
        <f>IF('PI - PPG'!U12&lt;&gt;"",'PI - PPG'!U12," ")</f>
        <v>P</v>
      </c>
      <c r="Q13" s="181">
        <v>40</v>
      </c>
      <c r="R13" s="181">
        <v>20</v>
      </c>
      <c r="S13" s="181">
        <v>8</v>
      </c>
      <c r="T13" s="181">
        <v>4</v>
      </c>
      <c r="U13" s="181">
        <v>1</v>
      </c>
      <c r="V13" s="181">
        <v>1</v>
      </c>
      <c r="W13" s="181">
        <v>1</v>
      </c>
      <c r="X13" s="175">
        <v>2</v>
      </c>
      <c r="Y13" s="181">
        <v>0</v>
      </c>
      <c r="Z13" s="181">
        <v>0</v>
      </c>
      <c r="AA13" s="128" t="str">
        <f>IF('PI - PPG'!AK12&lt;&gt;"",'PI - PPG'!AK12," ")</f>
        <v>P</v>
      </c>
      <c r="AB13" s="181">
        <v>40</v>
      </c>
      <c r="AC13" s="181">
        <v>20</v>
      </c>
      <c r="AD13" s="181">
        <v>8</v>
      </c>
      <c r="AE13" s="181">
        <v>4</v>
      </c>
      <c r="AF13" s="181">
        <v>1</v>
      </c>
      <c r="AG13" s="181">
        <v>1</v>
      </c>
      <c r="AH13" s="181">
        <v>2</v>
      </c>
      <c r="AI13" s="175">
        <v>1</v>
      </c>
      <c r="AJ13" s="181">
        <v>0</v>
      </c>
      <c r="AK13" s="181">
        <v>0</v>
      </c>
      <c r="AL13" s="319"/>
      <c r="AM13" s="129">
        <f>'PI - PPG'!BB12</f>
        <v>3</v>
      </c>
      <c r="AN13" s="26">
        <f t="shared" si="0"/>
        <v>40</v>
      </c>
      <c r="AO13" s="26">
        <f t="shared" si="1"/>
        <v>20</v>
      </c>
      <c r="AP13" s="26">
        <f t="shared" si="2"/>
        <v>8</v>
      </c>
      <c r="AQ13" s="26">
        <f t="shared" si="3"/>
        <v>4</v>
      </c>
      <c r="AR13" s="26">
        <f t="shared" si="4"/>
        <v>1</v>
      </c>
      <c r="AS13" s="26">
        <f t="shared" si="5"/>
        <v>1</v>
      </c>
      <c r="AT13" s="26">
        <f t="shared" si="6"/>
        <v>1</v>
      </c>
      <c r="AU13" s="26">
        <f t="shared" si="7"/>
        <v>1.6666666666666667</v>
      </c>
      <c r="AV13" s="26">
        <f t="shared" si="8"/>
        <v>2.666666666666667</v>
      </c>
      <c r="AW13" s="26">
        <f t="shared" si="9"/>
        <v>0</v>
      </c>
      <c r="AX13" s="26">
        <f t="shared" si="10"/>
        <v>0</v>
      </c>
    </row>
    <row r="14" spans="1:50" ht="18.75" customHeight="1" thickBot="1">
      <c r="A14" s="25" t="str">
        <f>IF('PI - PPG'!A13&lt;&gt;"",'PI - PPG'!A13,"")</f>
        <v>EF</v>
      </c>
      <c r="B14" s="25" t="str">
        <f>IF('PI - PPG'!B13&lt;&gt;"",'PI - PPG'!B13,"")</f>
        <v>UPE/PE</v>
      </c>
      <c r="C14" s="85">
        <v>11</v>
      </c>
      <c r="D14" s="25" t="str">
        <f>IF('PI - PPG'!D13&lt;&gt;"",'PI - PPG'!D13,"")</f>
        <v>MARCÍLIO B. M. DE SOUZA JÚNIOR</v>
      </c>
      <c r="E14" s="128" t="str">
        <f>IF('PI - PPG'!E13&lt;&gt;"",'PI - PPG'!E13," ")</f>
        <v>P</v>
      </c>
      <c r="F14" s="181">
        <v>40</v>
      </c>
      <c r="G14" s="181">
        <v>20</v>
      </c>
      <c r="H14" s="181">
        <v>10</v>
      </c>
      <c r="I14" s="181">
        <v>4</v>
      </c>
      <c r="J14" s="181">
        <v>1</v>
      </c>
      <c r="K14" s="181">
        <v>1</v>
      </c>
      <c r="L14" s="181">
        <v>5</v>
      </c>
      <c r="M14" s="175">
        <v>1</v>
      </c>
      <c r="N14" s="181">
        <v>0</v>
      </c>
      <c r="O14" s="181">
        <v>0</v>
      </c>
      <c r="P14" s="128" t="str">
        <f>IF('PI - PPG'!U13&lt;&gt;"",'PI - PPG'!U13," ")</f>
        <v>P</v>
      </c>
      <c r="Q14" s="181">
        <v>40</v>
      </c>
      <c r="R14" s="181">
        <v>20</v>
      </c>
      <c r="S14" s="181">
        <v>10</v>
      </c>
      <c r="T14" s="181">
        <v>4</v>
      </c>
      <c r="U14" s="181">
        <v>1</v>
      </c>
      <c r="V14" s="181">
        <v>1</v>
      </c>
      <c r="W14" s="181">
        <v>8</v>
      </c>
      <c r="X14" s="175">
        <v>1</v>
      </c>
      <c r="Y14" s="181">
        <v>0</v>
      </c>
      <c r="Z14" s="181">
        <v>0</v>
      </c>
      <c r="AA14" s="128" t="str">
        <f>IF('PI - PPG'!AK13&lt;&gt;"",'PI - PPG'!AK13," ")</f>
        <v>P</v>
      </c>
      <c r="AB14" s="181">
        <v>40</v>
      </c>
      <c r="AC14" s="181">
        <v>20</v>
      </c>
      <c r="AD14" s="181">
        <v>10</v>
      </c>
      <c r="AE14" s="181">
        <v>4</v>
      </c>
      <c r="AF14" s="181">
        <v>1</v>
      </c>
      <c r="AG14" s="181">
        <v>1</v>
      </c>
      <c r="AH14" s="181">
        <v>7</v>
      </c>
      <c r="AI14" s="175">
        <v>1</v>
      </c>
      <c r="AJ14" s="181">
        <v>0</v>
      </c>
      <c r="AK14" s="181">
        <v>0</v>
      </c>
      <c r="AL14" s="319"/>
      <c r="AM14" s="129">
        <f>'PI - PPG'!BB13</f>
        <v>3</v>
      </c>
      <c r="AN14" s="26">
        <f t="shared" si="0"/>
        <v>40</v>
      </c>
      <c r="AO14" s="26">
        <f t="shared" si="1"/>
        <v>20</v>
      </c>
      <c r="AP14" s="26">
        <f t="shared" si="2"/>
        <v>10</v>
      </c>
      <c r="AQ14" s="26">
        <f t="shared" si="3"/>
        <v>4</v>
      </c>
      <c r="AR14" s="26">
        <f t="shared" si="4"/>
        <v>1</v>
      </c>
      <c r="AS14" s="26">
        <f t="shared" si="5"/>
        <v>1</v>
      </c>
      <c r="AT14" s="26">
        <f t="shared" si="6"/>
        <v>6.666666666666667</v>
      </c>
      <c r="AU14" s="26">
        <f t="shared" si="7"/>
        <v>1</v>
      </c>
      <c r="AV14" s="26">
        <f t="shared" si="8"/>
        <v>7.666666666666667</v>
      </c>
      <c r="AW14" s="26">
        <f t="shared" si="9"/>
        <v>0</v>
      </c>
      <c r="AX14" s="26">
        <f t="shared" si="10"/>
        <v>0</v>
      </c>
    </row>
    <row r="15" spans="1:50" ht="32.25" thickBot="1">
      <c r="A15" s="25" t="str">
        <f>IF('PI - PPG'!A14&lt;&gt;"",'PI - PPG'!A14,"")</f>
        <v>EF</v>
      </c>
      <c r="B15" s="25" t="str">
        <f>IF('PI - PPG'!B14&lt;&gt;"",'PI - PPG'!B14,"")</f>
        <v>UFPB/PB</v>
      </c>
      <c r="C15" s="85">
        <v>12</v>
      </c>
      <c r="D15" s="25" t="str">
        <f>IF('PI - PPG'!D14&lt;&gt;"",'PI - PPG'!D14,"")</f>
        <v>MARIA S. BRASILEIRO SANTOS</v>
      </c>
      <c r="E15" s="128" t="s">
        <v>32</v>
      </c>
      <c r="F15" s="181">
        <v>40</v>
      </c>
      <c r="G15" s="181">
        <v>20</v>
      </c>
      <c r="H15" s="181">
        <v>12</v>
      </c>
      <c r="I15" s="181">
        <v>0</v>
      </c>
      <c r="J15" s="181">
        <v>0</v>
      </c>
      <c r="K15" s="181">
        <v>1</v>
      </c>
      <c r="L15" s="181">
        <v>1</v>
      </c>
      <c r="M15" s="175">
        <v>2</v>
      </c>
      <c r="N15" s="181">
        <v>0</v>
      </c>
      <c r="O15" s="181">
        <v>0</v>
      </c>
      <c r="P15" s="128" t="s">
        <v>32</v>
      </c>
      <c r="Q15" s="181">
        <v>40</v>
      </c>
      <c r="R15" s="181">
        <v>20</v>
      </c>
      <c r="S15" s="181">
        <v>8</v>
      </c>
      <c r="T15" s="181">
        <v>4</v>
      </c>
      <c r="U15" s="181">
        <v>1</v>
      </c>
      <c r="V15" s="181">
        <v>1</v>
      </c>
      <c r="W15" s="181">
        <v>2</v>
      </c>
      <c r="X15" s="175">
        <v>2</v>
      </c>
      <c r="Y15" s="181">
        <v>67000</v>
      </c>
      <c r="Z15" s="181">
        <v>0</v>
      </c>
      <c r="AA15" s="128" t="s">
        <v>32</v>
      </c>
      <c r="AB15" s="181">
        <v>40</v>
      </c>
      <c r="AC15" s="181">
        <v>20</v>
      </c>
      <c r="AD15" s="181">
        <v>8</v>
      </c>
      <c r="AE15" s="181">
        <v>4</v>
      </c>
      <c r="AF15" s="181">
        <v>0</v>
      </c>
      <c r="AG15" s="181">
        <v>0</v>
      </c>
      <c r="AH15" s="181">
        <v>1</v>
      </c>
      <c r="AI15" s="175">
        <v>2</v>
      </c>
      <c r="AJ15" s="181">
        <v>0</v>
      </c>
      <c r="AK15" s="181">
        <v>0</v>
      </c>
      <c r="AL15" s="319"/>
      <c r="AM15" s="129">
        <f>'PI - PPG'!BB14</f>
        <v>3</v>
      </c>
      <c r="AN15" s="26">
        <f t="shared" si="0"/>
        <v>40</v>
      </c>
      <c r="AO15" s="26">
        <f t="shared" si="1"/>
        <v>20</v>
      </c>
      <c r="AP15" s="26">
        <f t="shared" si="2"/>
        <v>9.333333333333334</v>
      </c>
      <c r="AQ15" s="26">
        <f t="shared" si="3"/>
        <v>2.6666666666666665</v>
      </c>
      <c r="AR15" s="26">
        <f t="shared" si="4"/>
        <v>0.3333333333333333</v>
      </c>
      <c r="AS15" s="26">
        <f t="shared" si="5"/>
        <v>0.6666666666666666</v>
      </c>
      <c r="AT15" s="26">
        <f t="shared" si="6"/>
        <v>1.3333333333333333</v>
      </c>
      <c r="AU15" s="26">
        <f t="shared" si="7"/>
        <v>2</v>
      </c>
      <c r="AV15" s="26">
        <f t="shared" si="8"/>
        <v>3.333333333333333</v>
      </c>
      <c r="AW15" s="26">
        <f t="shared" si="9"/>
        <v>22333.333333333332</v>
      </c>
      <c r="AX15" s="26">
        <f t="shared" si="10"/>
        <v>0</v>
      </c>
    </row>
    <row r="16" spans="1:50" ht="32.25" thickBot="1">
      <c r="A16" s="25" t="str">
        <f>IF('PI - PPG'!A15&lt;&gt;"",'PI - PPG'!A15,"")</f>
        <v>EF</v>
      </c>
      <c r="B16" s="25" t="str">
        <f>IF('PI - PPG'!B15&lt;&gt;"",'PI - PPG'!B15,"")</f>
        <v>UFPB/PB</v>
      </c>
      <c r="C16" s="85">
        <v>13</v>
      </c>
      <c r="D16" s="25" t="str">
        <f>IF('PI - PPG'!D15&lt;&gt;"",'PI - PPG'!D15,"")</f>
        <v>MARIA S. CIRILO DE SOUZA</v>
      </c>
      <c r="E16" s="128" t="s">
        <v>32</v>
      </c>
      <c r="F16" s="181">
        <v>40</v>
      </c>
      <c r="G16" s="181">
        <v>20</v>
      </c>
      <c r="H16" s="181">
        <v>8</v>
      </c>
      <c r="I16" s="181">
        <v>2</v>
      </c>
      <c r="J16" s="181">
        <v>1</v>
      </c>
      <c r="K16" s="181">
        <v>1</v>
      </c>
      <c r="L16" s="181">
        <v>3</v>
      </c>
      <c r="M16" s="175">
        <v>0</v>
      </c>
      <c r="N16" s="181">
        <v>0</v>
      </c>
      <c r="O16" s="181">
        <v>0</v>
      </c>
      <c r="P16" s="128" t="s">
        <v>309</v>
      </c>
      <c r="Q16" s="181">
        <v>40</v>
      </c>
      <c r="R16" s="181">
        <v>20</v>
      </c>
      <c r="S16" s="181">
        <v>8</v>
      </c>
      <c r="T16" s="181">
        <v>3</v>
      </c>
      <c r="U16" s="181">
        <v>1</v>
      </c>
      <c r="V16" s="181">
        <v>1</v>
      </c>
      <c r="W16" s="181">
        <v>3</v>
      </c>
      <c r="X16" s="175">
        <v>0</v>
      </c>
      <c r="Y16" s="181">
        <v>0</v>
      </c>
      <c r="Z16" s="181">
        <v>0</v>
      </c>
      <c r="AA16" s="128" t="s">
        <v>32</v>
      </c>
      <c r="AB16" s="181">
        <v>40</v>
      </c>
      <c r="AC16" s="181">
        <v>20</v>
      </c>
      <c r="AD16" s="181">
        <v>11</v>
      </c>
      <c r="AE16" s="181">
        <v>0</v>
      </c>
      <c r="AF16" s="181">
        <v>0</v>
      </c>
      <c r="AG16" s="181">
        <v>1</v>
      </c>
      <c r="AH16" s="181">
        <v>3</v>
      </c>
      <c r="AI16" s="175">
        <v>0</v>
      </c>
      <c r="AJ16" s="181">
        <v>0</v>
      </c>
      <c r="AK16" s="181">
        <v>0</v>
      </c>
      <c r="AL16" s="319"/>
      <c r="AM16" s="129">
        <f>'PI - PPG'!BB15</f>
        <v>3</v>
      </c>
      <c r="AN16" s="26">
        <f t="shared" si="0"/>
        <v>40</v>
      </c>
      <c r="AO16" s="26">
        <f t="shared" si="1"/>
        <v>20</v>
      </c>
      <c r="AP16" s="26">
        <f t="shared" si="2"/>
        <v>9</v>
      </c>
      <c r="AQ16" s="26">
        <f t="shared" si="3"/>
        <v>1.6666666666666667</v>
      </c>
      <c r="AR16" s="26">
        <f t="shared" si="4"/>
        <v>0.6666666666666666</v>
      </c>
      <c r="AS16" s="26">
        <f t="shared" si="5"/>
        <v>1</v>
      </c>
      <c r="AT16" s="26">
        <f t="shared" si="6"/>
        <v>3</v>
      </c>
      <c r="AU16" s="26">
        <f t="shared" si="7"/>
        <v>0</v>
      </c>
      <c r="AV16" s="26">
        <f t="shared" si="8"/>
        <v>3</v>
      </c>
      <c r="AW16" s="26">
        <f t="shared" si="9"/>
        <v>0</v>
      </c>
      <c r="AX16" s="26">
        <f t="shared" si="10"/>
        <v>0</v>
      </c>
    </row>
    <row r="17" spans="1:50" ht="16.5" thickBot="1">
      <c r="A17" s="25" t="str">
        <f>IF('PI - PPG'!A16&lt;&gt;"",'PI - PPG'!A16,"")</f>
        <v>EF</v>
      </c>
      <c r="B17" s="25" t="str">
        <f>IF('PI - PPG'!B16&lt;&gt;"",'PI - PPG'!B16,"")</f>
        <v>UPE/PE</v>
      </c>
      <c r="C17" s="85">
        <v>14</v>
      </c>
      <c r="D17" s="25" t="str">
        <f>IF('PI - PPG'!D16&lt;&gt;"",'PI - PPG'!D16,"")</f>
        <v>MARIA TERESA CATTUZZO</v>
      </c>
      <c r="E17" s="128" t="str">
        <f>IF('PI - PPG'!E16&lt;&gt;"",'PI - PPG'!E16," ")</f>
        <v>P</v>
      </c>
      <c r="F17" s="182">
        <v>40</v>
      </c>
      <c r="G17" s="182">
        <v>20</v>
      </c>
      <c r="H17" s="182">
        <v>8</v>
      </c>
      <c r="I17" s="182">
        <v>4</v>
      </c>
      <c r="J17" s="182">
        <v>1</v>
      </c>
      <c r="K17" s="182">
        <v>1</v>
      </c>
      <c r="L17" s="182">
        <v>2</v>
      </c>
      <c r="M17" s="175">
        <v>1</v>
      </c>
      <c r="N17" s="182">
        <v>5000</v>
      </c>
      <c r="O17" s="182">
        <v>0</v>
      </c>
      <c r="P17" s="128" t="str">
        <f>IF('PI - PPG'!U16&lt;&gt;"",'PI - PPG'!U16," ")</f>
        <v>P</v>
      </c>
      <c r="Q17" s="182">
        <v>40</v>
      </c>
      <c r="R17" s="182">
        <v>20</v>
      </c>
      <c r="S17" s="182">
        <v>8</v>
      </c>
      <c r="T17" s="182">
        <v>4</v>
      </c>
      <c r="U17" s="182">
        <v>1</v>
      </c>
      <c r="V17" s="182">
        <v>1</v>
      </c>
      <c r="W17" s="182">
        <v>2</v>
      </c>
      <c r="X17" s="175">
        <v>1</v>
      </c>
      <c r="Y17" s="182">
        <v>0</v>
      </c>
      <c r="Z17" s="182">
        <v>0</v>
      </c>
      <c r="AA17" s="128" t="str">
        <f>IF('PI - PPG'!AK16&lt;&gt;"",'PI - PPG'!AK16," ")</f>
        <v>P</v>
      </c>
      <c r="AB17" s="182">
        <v>40</v>
      </c>
      <c r="AC17" s="182">
        <v>20</v>
      </c>
      <c r="AD17" s="182">
        <v>8</v>
      </c>
      <c r="AE17" s="182">
        <v>4</v>
      </c>
      <c r="AF17" s="182">
        <v>1</v>
      </c>
      <c r="AG17" s="182">
        <v>1</v>
      </c>
      <c r="AH17" s="182">
        <v>3</v>
      </c>
      <c r="AI17" s="175">
        <v>1</v>
      </c>
      <c r="AJ17" s="182">
        <v>90000</v>
      </c>
      <c r="AK17" s="182">
        <v>0</v>
      </c>
      <c r="AL17" s="319"/>
      <c r="AM17" s="129">
        <f>'PI - PPG'!BB16</f>
        <v>3</v>
      </c>
      <c r="AN17" s="26">
        <f t="shared" si="0"/>
        <v>40</v>
      </c>
      <c r="AO17" s="26">
        <f t="shared" si="1"/>
        <v>20</v>
      </c>
      <c r="AP17" s="26">
        <f t="shared" si="2"/>
        <v>8</v>
      </c>
      <c r="AQ17" s="26">
        <f t="shared" si="3"/>
        <v>4</v>
      </c>
      <c r="AR17" s="26">
        <f t="shared" si="4"/>
        <v>1</v>
      </c>
      <c r="AS17" s="26">
        <f t="shared" si="5"/>
        <v>1</v>
      </c>
      <c r="AT17" s="26">
        <f t="shared" si="6"/>
        <v>2.3333333333333335</v>
      </c>
      <c r="AU17" s="26">
        <f t="shared" si="7"/>
        <v>1</v>
      </c>
      <c r="AV17" s="26">
        <f t="shared" si="8"/>
        <v>3.3333333333333335</v>
      </c>
      <c r="AW17" s="26">
        <f t="shared" si="9"/>
        <v>31666.666666666668</v>
      </c>
      <c r="AX17" s="26">
        <f t="shared" si="10"/>
        <v>0</v>
      </c>
    </row>
    <row r="18" spans="1:50" ht="18" customHeight="1" thickBot="1">
      <c r="A18" s="25" t="str">
        <f>IF('PI - PPG'!A17&lt;&gt;"",'PI - PPG'!A17,"")</f>
        <v>EF</v>
      </c>
      <c r="B18" s="25" t="str">
        <f>IF('PI - PPG'!B17&lt;&gt;"",'PI - PPG'!B17,"")</f>
        <v>UPE/PE</v>
      </c>
      <c r="C18" s="85">
        <v>15</v>
      </c>
      <c r="D18" s="25" t="str">
        <f>IF('PI - PPG'!D17&lt;&gt;"",'PI - PPG'!D17,"")</f>
        <v>MAURO VIRGILIO GOMES DE BARROS</v>
      </c>
      <c r="E18" s="128" t="str">
        <f>IF('PI - PPG'!E17&lt;&gt;"",'PI - PPG'!E17," ")</f>
        <v>P</v>
      </c>
      <c r="F18" s="182">
        <v>40</v>
      </c>
      <c r="G18" s="182">
        <v>20</v>
      </c>
      <c r="H18" s="182">
        <v>8</v>
      </c>
      <c r="I18" s="182">
        <v>4</v>
      </c>
      <c r="J18" s="182">
        <v>1</v>
      </c>
      <c r="K18" s="182">
        <v>1</v>
      </c>
      <c r="L18" s="182">
        <v>2</v>
      </c>
      <c r="M18" s="175">
        <v>4</v>
      </c>
      <c r="N18" s="182">
        <v>211200</v>
      </c>
      <c r="O18" s="182">
        <v>0</v>
      </c>
      <c r="P18" s="128" t="str">
        <f>IF('PI - PPG'!U17&lt;&gt;"",'PI - PPG'!U17," ")</f>
        <v>P</v>
      </c>
      <c r="Q18" s="182">
        <v>40</v>
      </c>
      <c r="R18" s="182">
        <v>20</v>
      </c>
      <c r="S18" s="182">
        <v>8</v>
      </c>
      <c r="T18" s="182">
        <v>4</v>
      </c>
      <c r="U18" s="182">
        <v>1</v>
      </c>
      <c r="V18" s="182">
        <v>1</v>
      </c>
      <c r="W18" s="182">
        <v>2</v>
      </c>
      <c r="X18" s="175">
        <v>4</v>
      </c>
      <c r="Y18" s="182">
        <v>52800</v>
      </c>
      <c r="Z18" s="182">
        <v>1</v>
      </c>
      <c r="AA18" s="128" t="str">
        <f>IF('PI - PPG'!AK17&lt;&gt;"",'PI - PPG'!AK17," ")</f>
        <v>P</v>
      </c>
      <c r="AB18" s="182">
        <v>40</v>
      </c>
      <c r="AC18" s="182">
        <v>20</v>
      </c>
      <c r="AD18" s="182">
        <v>8</v>
      </c>
      <c r="AE18" s="182">
        <v>4</v>
      </c>
      <c r="AF18" s="182">
        <v>1</v>
      </c>
      <c r="AG18" s="182">
        <v>1</v>
      </c>
      <c r="AH18" s="182">
        <v>2</v>
      </c>
      <c r="AI18" s="175">
        <v>4</v>
      </c>
      <c r="AJ18" s="182">
        <v>22800</v>
      </c>
      <c r="AK18" s="182">
        <v>1</v>
      </c>
      <c r="AL18" s="319"/>
      <c r="AM18" s="129">
        <f>'PI - PPG'!BB17</f>
        <v>3</v>
      </c>
      <c r="AN18" s="26">
        <f t="shared" si="0"/>
        <v>40</v>
      </c>
      <c r="AO18" s="26">
        <f t="shared" si="1"/>
        <v>20</v>
      </c>
      <c r="AP18" s="26">
        <f t="shared" si="2"/>
        <v>8</v>
      </c>
      <c r="AQ18" s="26">
        <f t="shared" si="3"/>
        <v>4</v>
      </c>
      <c r="AR18" s="26">
        <f t="shared" si="4"/>
        <v>1</v>
      </c>
      <c r="AS18" s="26">
        <f t="shared" si="5"/>
        <v>1</v>
      </c>
      <c r="AT18" s="26">
        <f t="shared" si="6"/>
        <v>2</v>
      </c>
      <c r="AU18" s="26">
        <f t="shared" si="7"/>
        <v>4</v>
      </c>
      <c r="AV18" s="26">
        <f t="shared" si="8"/>
        <v>6</v>
      </c>
      <c r="AW18" s="26">
        <f t="shared" si="9"/>
        <v>95600</v>
      </c>
      <c r="AX18" s="26">
        <f t="shared" si="10"/>
        <v>0.6666666666666666</v>
      </c>
    </row>
    <row r="19" spans="1:50" ht="32.25" thickBot="1">
      <c r="A19" s="25" t="str">
        <f>IF('PI - PPG'!A18&lt;&gt;"",'PI - PPG'!A18,"")</f>
        <v>EF</v>
      </c>
      <c r="B19" s="25" t="str">
        <f>IF('PI - PPG'!B18&lt;&gt;"",'PI - PPG'!B18,"")</f>
        <v>UFPB/PB</v>
      </c>
      <c r="C19" s="85">
        <v>16</v>
      </c>
      <c r="D19" s="25" t="str">
        <f>IF('PI - PPG'!D18&lt;&gt;"",'PI - PPG'!D18,"")</f>
        <v>PIERRE N. GOMES DA SILVA</v>
      </c>
      <c r="E19" s="128" t="s">
        <v>32</v>
      </c>
      <c r="F19" s="181">
        <v>40</v>
      </c>
      <c r="G19" s="181">
        <v>20</v>
      </c>
      <c r="H19" s="181">
        <v>13</v>
      </c>
      <c r="I19" s="181">
        <v>3</v>
      </c>
      <c r="J19" s="181">
        <v>1</v>
      </c>
      <c r="K19" s="181">
        <v>1</v>
      </c>
      <c r="L19" s="181">
        <v>2</v>
      </c>
      <c r="M19" s="175">
        <v>0</v>
      </c>
      <c r="N19" s="181">
        <v>0</v>
      </c>
      <c r="O19" s="181">
        <v>0</v>
      </c>
      <c r="P19" s="128" t="s">
        <v>309</v>
      </c>
      <c r="Q19" s="181">
        <v>40</v>
      </c>
      <c r="R19" s="181">
        <v>20</v>
      </c>
      <c r="S19" s="181">
        <v>13</v>
      </c>
      <c r="T19" s="181">
        <v>3</v>
      </c>
      <c r="U19" s="181">
        <v>1</v>
      </c>
      <c r="V19" s="181">
        <v>1</v>
      </c>
      <c r="W19" s="181">
        <v>2</v>
      </c>
      <c r="X19" s="175">
        <v>0</v>
      </c>
      <c r="Y19" s="181">
        <v>0</v>
      </c>
      <c r="Z19" s="181">
        <v>0</v>
      </c>
      <c r="AA19" s="128" t="s">
        <v>32</v>
      </c>
      <c r="AB19" s="181">
        <v>40</v>
      </c>
      <c r="AC19" s="181">
        <v>20</v>
      </c>
      <c r="AD19" s="181">
        <v>13</v>
      </c>
      <c r="AE19" s="181">
        <v>3</v>
      </c>
      <c r="AF19" s="181">
        <v>1</v>
      </c>
      <c r="AG19" s="181">
        <v>1</v>
      </c>
      <c r="AH19" s="181">
        <v>2</v>
      </c>
      <c r="AI19" s="175">
        <v>0</v>
      </c>
      <c r="AJ19" s="181">
        <v>0</v>
      </c>
      <c r="AK19" s="181">
        <v>0</v>
      </c>
      <c r="AL19" s="319"/>
      <c r="AM19" s="129">
        <f>'PI - PPG'!BB18</f>
        <v>3</v>
      </c>
      <c r="AN19" s="26">
        <f t="shared" si="0"/>
        <v>40</v>
      </c>
      <c r="AO19" s="26">
        <f t="shared" si="1"/>
        <v>20</v>
      </c>
      <c r="AP19" s="26">
        <f t="shared" si="2"/>
        <v>13</v>
      </c>
      <c r="AQ19" s="26">
        <f t="shared" si="3"/>
        <v>3</v>
      </c>
      <c r="AR19" s="26">
        <f t="shared" si="4"/>
        <v>1</v>
      </c>
      <c r="AS19" s="26">
        <f t="shared" si="5"/>
        <v>1</v>
      </c>
      <c r="AT19" s="26">
        <f t="shared" si="6"/>
        <v>2</v>
      </c>
      <c r="AU19" s="26">
        <f t="shared" si="7"/>
        <v>0</v>
      </c>
      <c r="AV19" s="26">
        <f t="shared" si="8"/>
        <v>2</v>
      </c>
      <c r="AW19" s="26">
        <f t="shared" si="9"/>
        <v>0</v>
      </c>
      <c r="AX19" s="26">
        <f t="shared" si="10"/>
        <v>0</v>
      </c>
    </row>
    <row r="20" spans="1:50" ht="16.5" thickBot="1">
      <c r="A20" s="25" t="str">
        <f>IF('PI - PPG'!A19&lt;&gt;"",'PI - PPG'!A19,"")</f>
        <v>EF</v>
      </c>
      <c r="B20" s="25" t="str">
        <f>IF('PI - PPG'!B19&lt;&gt;"",'PI - PPG'!B19,"")</f>
        <v>UPE/PE</v>
      </c>
      <c r="C20" s="85">
        <v>17</v>
      </c>
      <c r="D20" s="25" t="str">
        <f>IF('PI - PPG'!D19&lt;&gt;"",'PI - PPG'!D19,"")</f>
        <v>RAPHAEL MENDES RITTI DIAS</v>
      </c>
      <c r="E20" s="128" t="str">
        <f>IF('PI - PPG'!E19&lt;&gt;"",'PI - PPG'!E19," ")</f>
        <v>P</v>
      </c>
      <c r="F20" s="181">
        <v>40</v>
      </c>
      <c r="G20" s="181">
        <v>20</v>
      </c>
      <c r="H20" s="181">
        <v>10</v>
      </c>
      <c r="I20" s="181">
        <v>4</v>
      </c>
      <c r="J20" s="181">
        <v>1</v>
      </c>
      <c r="K20" s="181">
        <v>1</v>
      </c>
      <c r="L20" s="181">
        <v>6</v>
      </c>
      <c r="M20" s="175">
        <v>0</v>
      </c>
      <c r="N20" s="181">
        <v>221000</v>
      </c>
      <c r="O20" s="181">
        <v>0</v>
      </c>
      <c r="P20" s="128" t="str">
        <f>IF('PI - PPG'!U19&lt;&gt;"",'PI - PPG'!U19," ")</f>
        <v>P</v>
      </c>
      <c r="Q20" s="181">
        <v>40</v>
      </c>
      <c r="R20" s="181">
        <v>20</v>
      </c>
      <c r="S20" s="181">
        <v>7</v>
      </c>
      <c r="T20" s="181">
        <v>4</v>
      </c>
      <c r="U20" s="181">
        <v>1</v>
      </c>
      <c r="V20" s="181">
        <v>1</v>
      </c>
      <c r="W20" s="181">
        <v>14</v>
      </c>
      <c r="X20" s="175">
        <v>1</v>
      </c>
      <c r="Y20" s="181">
        <v>91000</v>
      </c>
      <c r="Z20" s="181">
        <v>0</v>
      </c>
      <c r="AA20" s="128" t="str">
        <f>IF('PI - PPG'!AK19&lt;&gt;"",'PI - PPG'!AK19," ")</f>
        <v>P</v>
      </c>
      <c r="AB20" s="181">
        <v>40</v>
      </c>
      <c r="AC20" s="181">
        <v>20</v>
      </c>
      <c r="AD20" s="181">
        <v>7</v>
      </c>
      <c r="AE20" s="181">
        <v>4</v>
      </c>
      <c r="AF20" s="181">
        <v>1</v>
      </c>
      <c r="AG20" s="181">
        <v>2</v>
      </c>
      <c r="AH20" s="181">
        <v>9</v>
      </c>
      <c r="AI20" s="175">
        <v>2</v>
      </c>
      <c r="AJ20" s="181">
        <v>5000</v>
      </c>
      <c r="AK20" s="181">
        <v>1</v>
      </c>
      <c r="AL20" s="319"/>
      <c r="AM20" s="129">
        <f>'PI - PPG'!BB19</f>
        <v>3</v>
      </c>
      <c r="AN20" s="26">
        <f t="shared" si="0"/>
        <v>40</v>
      </c>
      <c r="AO20" s="26">
        <f t="shared" si="1"/>
        <v>20</v>
      </c>
      <c r="AP20" s="26">
        <f t="shared" si="2"/>
        <v>8</v>
      </c>
      <c r="AQ20" s="26">
        <f t="shared" si="3"/>
        <v>4</v>
      </c>
      <c r="AR20" s="26">
        <f t="shared" si="4"/>
        <v>1</v>
      </c>
      <c r="AS20" s="26">
        <f t="shared" si="5"/>
        <v>1.3333333333333333</v>
      </c>
      <c r="AT20" s="26">
        <f t="shared" si="6"/>
        <v>9.666666666666666</v>
      </c>
      <c r="AU20" s="26">
        <f t="shared" si="7"/>
        <v>1</v>
      </c>
      <c r="AV20" s="26">
        <f t="shared" si="8"/>
        <v>10.666666666666666</v>
      </c>
      <c r="AW20" s="26">
        <f t="shared" si="9"/>
        <v>105666.66666666667</v>
      </c>
      <c r="AX20" s="26">
        <f t="shared" si="10"/>
        <v>0.3333333333333333</v>
      </c>
    </row>
    <row r="21" spans="1:50" ht="32.25" thickBot="1">
      <c r="A21" s="25" t="str">
        <f>IF('PI - PPG'!A20&lt;&gt;"",'PI - PPG'!A20,"")</f>
        <v>EF</v>
      </c>
      <c r="B21" s="25" t="str">
        <f>IF('PI - PPG'!B20&lt;&gt;"",'PI - PPG'!B20,"")</f>
        <v>UPE/PE</v>
      </c>
      <c r="C21" s="85">
        <v>18</v>
      </c>
      <c r="D21" s="25" t="str">
        <f>IF('PI - PPG'!D20&lt;&gt;"",'PI - PPG'!D20,"")</f>
        <v>RODRIGO CAPPATO DE ARAÚJO</v>
      </c>
      <c r="E21" s="128" t="str">
        <f>IF('PI - PPG'!E20&lt;&gt;"",'PI - PPG'!E20," ")</f>
        <v> 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75">
        <v>0</v>
      </c>
      <c r="N21" s="181">
        <v>0</v>
      </c>
      <c r="O21" s="181">
        <v>0</v>
      </c>
      <c r="P21" s="128" t="str">
        <f>IF('PI - PPG'!U20&lt;&gt;"",'PI - PPG'!U20," ")</f>
        <v>P</v>
      </c>
      <c r="Q21" s="181">
        <v>40</v>
      </c>
      <c r="R21" s="181">
        <v>20</v>
      </c>
      <c r="S21" s="181">
        <v>9</v>
      </c>
      <c r="T21" s="181">
        <v>0</v>
      </c>
      <c r="U21" s="181">
        <v>0</v>
      </c>
      <c r="V21" s="181">
        <v>1</v>
      </c>
      <c r="W21" s="181">
        <v>1</v>
      </c>
      <c r="X21" s="175">
        <v>2</v>
      </c>
      <c r="Y21" s="181">
        <v>0</v>
      </c>
      <c r="Z21" s="181">
        <v>0</v>
      </c>
      <c r="AA21" s="128" t="str">
        <f>IF('PI - PPG'!AK20&lt;&gt;"",'PI - PPG'!AK20," ")</f>
        <v>P</v>
      </c>
      <c r="AB21" s="181">
        <v>40</v>
      </c>
      <c r="AC21" s="181">
        <v>20</v>
      </c>
      <c r="AD21" s="181">
        <v>9</v>
      </c>
      <c r="AE21" s="181">
        <v>4</v>
      </c>
      <c r="AF21" s="181">
        <v>1</v>
      </c>
      <c r="AG21" s="181">
        <v>1</v>
      </c>
      <c r="AH21" s="181">
        <v>3</v>
      </c>
      <c r="AI21" s="175">
        <v>2</v>
      </c>
      <c r="AJ21" s="181">
        <v>50000</v>
      </c>
      <c r="AK21" s="181">
        <v>0</v>
      </c>
      <c r="AL21" s="319"/>
      <c r="AM21" s="129">
        <f>'PI - PPG'!BB20</f>
        <v>2</v>
      </c>
      <c r="AN21" s="26">
        <f t="shared" si="0"/>
        <v>26.666666666666668</v>
      </c>
      <c r="AO21" s="26">
        <f t="shared" si="1"/>
        <v>13.333333333333334</v>
      </c>
      <c r="AP21" s="26">
        <f t="shared" si="2"/>
        <v>6</v>
      </c>
      <c r="AQ21" s="26">
        <f t="shared" si="3"/>
        <v>1.3333333333333333</v>
      </c>
      <c r="AR21" s="26">
        <f t="shared" si="4"/>
        <v>0.3333333333333333</v>
      </c>
      <c r="AS21" s="26">
        <f t="shared" si="5"/>
        <v>0.6666666666666666</v>
      </c>
      <c r="AT21" s="26">
        <f t="shared" si="6"/>
        <v>1.3333333333333333</v>
      </c>
      <c r="AU21" s="26">
        <f t="shared" si="7"/>
        <v>1.3333333333333333</v>
      </c>
      <c r="AV21" s="26">
        <f t="shared" si="8"/>
        <v>2.6666666666666665</v>
      </c>
      <c r="AW21" s="26">
        <f t="shared" si="9"/>
        <v>16666.666666666668</v>
      </c>
      <c r="AX21" s="26">
        <f t="shared" si="10"/>
        <v>0</v>
      </c>
    </row>
    <row r="22" spans="1:50" ht="16.5" thickBot="1">
      <c r="A22" s="25" t="str">
        <f>IF('PI - PPG'!A21&lt;&gt;"",'PI - PPG'!A21,"")</f>
        <v>EF</v>
      </c>
      <c r="B22" s="25" t="str">
        <f>IF('PI - PPG'!B21&lt;&gt;"",'PI - PPG'!B21,"")</f>
        <v>UPE/PE</v>
      </c>
      <c r="C22" s="85">
        <v>19</v>
      </c>
      <c r="D22" s="25" t="str">
        <f>IF('PI - PPG'!D21&lt;&gt;"",'PI - PPG'!D21,"")</f>
        <v>WAGNER LUIZ DO PRADO</v>
      </c>
      <c r="E22" s="128" t="str">
        <f>IF('PI - PPG'!E21&lt;&gt;"",'PI - PPG'!E21," ")</f>
        <v>P</v>
      </c>
      <c r="F22" s="181">
        <v>40</v>
      </c>
      <c r="G22" s="181">
        <v>20</v>
      </c>
      <c r="H22" s="181">
        <v>12</v>
      </c>
      <c r="I22" s="181">
        <v>4</v>
      </c>
      <c r="J22" s="181">
        <v>1</v>
      </c>
      <c r="K22" s="181">
        <v>2</v>
      </c>
      <c r="L22" s="181">
        <v>2</v>
      </c>
      <c r="M22" s="175">
        <v>3</v>
      </c>
      <c r="N22" s="181">
        <v>187000</v>
      </c>
      <c r="O22" s="181">
        <v>0</v>
      </c>
      <c r="P22" s="128" t="str">
        <f>IF('PI - PPG'!U21&lt;&gt;"",'PI - PPG'!U21," ")</f>
        <v>P</v>
      </c>
      <c r="Q22" s="181">
        <v>40</v>
      </c>
      <c r="R22" s="181">
        <v>20</v>
      </c>
      <c r="S22" s="181">
        <v>8</v>
      </c>
      <c r="T22" s="181">
        <v>4</v>
      </c>
      <c r="U22" s="181">
        <v>1</v>
      </c>
      <c r="V22" s="181">
        <v>2</v>
      </c>
      <c r="W22" s="181">
        <v>3</v>
      </c>
      <c r="X22" s="175">
        <v>5</v>
      </c>
      <c r="Y22" s="181">
        <v>100000</v>
      </c>
      <c r="Z22" s="181">
        <v>1</v>
      </c>
      <c r="AA22" s="128" t="str">
        <f>IF('PI - PPG'!AK21&lt;&gt;"",'PI - PPG'!AK21," ")</f>
        <v>P</v>
      </c>
      <c r="AB22" s="181">
        <v>40</v>
      </c>
      <c r="AC22" s="181">
        <v>20</v>
      </c>
      <c r="AD22" s="181">
        <v>8</v>
      </c>
      <c r="AE22" s="181">
        <v>4</v>
      </c>
      <c r="AF22" s="181">
        <v>1</v>
      </c>
      <c r="AG22" s="181">
        <v>1</v>
      </c>
      <c r="AH22" s="181">
        <v>2</v>
      </c>
      <c r="AI22" s="175">
        <v>4</v>
      </c>
      <c r="AJ22" s="181">
        <v>0</v>
      </c>
      <c r="AK22" s="181">
        <v>1</v>
      </c>
      <c r="AL22" s="319"/>
      <c r="AM22" s="129">
        <f>'PI - PPG'!BB21</f>
        <v>3</v>
      </c>
      <c r="AN22" s="26">
        <f t="shared" si="0"/>
        <v>40</v>
      </c>
      <c r="AO22" s="26">
        <f t="shared" si="1"/>
        <v>20</v>
      </c>
      <c r="AP22" s="26">
        <f t="shared" si="2"/>
        <v>9.333333333333334</v>
      </c>
      <c r="AQ22" s="26">
        <f t="shared" si="3"/>
        <v>4</v>
      </c>
      <c r="AR22" s="26">
        <f t="shared" si="4"/>
        <v>1</v>
      </c>
      <c r="AS22" s="26">
        <f t="shared" si="5"/>
        <v>1.6666666666666667</v>
      </c>
      <c r="AT22" s="26">
        <f t="shared" si="6"/>
        <v>2.3333333333333335</v>
      </c>
      <c r="AU22" s="26">
        <f t="shared" si="7"/>
        <v>4</v>
      </c>
      <c r="AV22" s="26">
        <f t="shared" si="8"/>
        <v>6.333333333333334</v>
      </c>
      <c r="AW22" s="26">
        <f t="shared" si="9"/>
        <v>95666.66666666667</v>
      </c>
      <c r="AX22" s="26">
        <f t="shared" si="10"/>
        <v>0.6666666666666666</v>
      </c>
    </row>
    <row r="23" spans="2:50" ht="16.5" thickBot="1">
      <c r="B23" s="30"/>
      <c r="C23" s="31"/>
      <c r="D23" s="32"/>
      <c r="E23" s="33"/>
      <c r="F23" s="34"/>
      <c r="G23" s="35"/>
      <c r="H23" s="34"/>
      <c r="I23" s="34"/>
      <c r="J23" s="34"/>
      <c r="K23" s="34"/>
      <c r="L23" s="34"/>
      <c r="M23" s="34"/>
      <c r="N23" s="34"/>
      <c r="O23" s="34"/>
      <c r="P23" s="27"/>
      <c r="Q23" s="34"/>
      <c r="R23" s="35"/>
      <c r="S23" s="34"/>
      <c r="T23" s="34"/>
      <c r="U23" s="34"/>
      <c r="V23" s="34"/>
      <c r="W23" s="34"/>
      <c r="X23" s="34"/>
      <c r="Y23" s="34"/>
      <c r="Z23" s="34"/>
      <c r="AA23" s="33"/>
      <c r="AB23" s="34"/>
      <c r="AC23" s="35"/>
      <c r="AD23" s="34"/>
      <c r="AE23" s="34"/>
      <c r="AF23" s="34"/>
      <c r="AG23" s="34"/>
      <c r="AH23" s="34"/>
      <c r="AI23" s="34"/>
      <c r="AJ23" s="34"/>
      <c r="AK23" s="34"/>
      <c r="AL23" s="321"/>
      <c r="AM23" s="31"/>
      <c r="AN23" s="34">
        <f aca="true" t="shared" si="11" ref="AN23:AX23">SUM(AN4:AN22)/3</f>
        <v>208.88888888888889</v>
      </c>
      <c r="AO23" s="34">
        <f t="shared" si="11"/>
        <v>104.44444444444444</v>
      </c>
      <c r="AP23" s="34">
        <f t="shared" si="11"/>
        <v>46.44444444444445</v>
      </c>
      <c r="AQ23" s="34">
        <f t="shared" si="11"/>
        <v>18</v>
      </c>
      <c r="AR23" s="34">
        <f t="shared" si="11"/>
        <v>5</v>
      </c>
      <c r="AS23" s="34">
        <f t="shared" si="11"/>
        <v>5.444444444444444</v>
      </c>
      <c r="AT23" s="34">
        <f t="shared" si="11"/>
        <v>18.444444444444446</v>
      </c>
      <c r="AU23" s="34">
        <f t="shared" si="11"/>
        <v>7.777777777777778</v>
      </c>
      <c r="AV23" s="34">
        <f t="shared" si="11"/>
        <v>26.222222222222225</v>
      </c>
      <c r="AW23" s="34">
        <f t="shared" si="11"/>
        <v>161327.77777777778</v>
      </c>
      <c r="AX23" s="34">
        <f t="shared" si="11"/>
        <v>0.5555555555555555</v>
      </c>
    </row>
    <row r="24" spans="4:50" ht="15.75">
      <c r="D24" s="8"/>
      <c r="E24" s="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81"/>
      <c r="AM24" s="81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</row>
  </sheetData>
  <sheetProtection/>
  <mergeCells count="9">
    <mergeCell ref="AN1:AX1"/>
    <mergeCell ref="AN2:AX2"/>
    <mergeCell ref="AL1:AL23"/>
    <mergeCell ref="F1:O1"/>
    <mergeCell ref="Q1:Z1"/>
    <mergeCell ref="AB1:AK1"/>
    <mergeCell ref="F2:O2"/>
    <mergeCell ref="Q2:Z2"/>
    <mergeCell ref="AB2:AK2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9"/>
  <sheetViews>
    <sheetView zoomScale="80" zoomScaleNormal="80" zoomScalePageLayoutView="15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13" sqref="M13"/>
    </sheetView>
  </sheetViews>
  <sheetFormatPr defaultColWidth="11.00390625" defaultRowHeight="15.75"/>
  <cols>
    <col min="1" max="1" width="10.875" style="0" customWidth="1"/>
    <col min="2" max="2" width="9.875" style="0" customWidth="1"/>
    <col min="3" max="3" width="3.375" style="0" customWidth="1"/>
    <col min="4" max="4" width="24.50390625" style="0" customWidth="1"/>
    <col min="5" max="5" width="11.00390625" style="0" customWidth="1"/>
    <col min="6" max="6" width="10.50390625" style="0" customWidth="1"/>
    <col min="7" max="7" width="10.625" style="0" customWidth="1"/>
    <col min="8" max="8" width="6.50390625" style="0" customWidth="1"/>
    <col min="9" max="9" width="9.00390625" style="0" customWidth="1"/>
    <col min="10" max="10" width="5.875" style="0" customWidth="1"/>
    <col min="11" max="11" width="9.625" style="0" customWidth="1"/>
    <col min="12" max="12" width="12.00390625" style="0" customWidth="1"/>
    <col min="13" max="13" width="14.375" style="0" customWidth="1"/>
    <col min="14" max="14" width="16.50390625" style="0" customWidth="1"/>
    <col min="15" max="15" width="7.50390625" style="0" bestFit="1" customWidth="1"/>
    <col min="16" max="16" width="8.375" style="0" bestFit="1" customWidth="1"/>
    <col min="17" max="17" width="8.875" style="0" customWidth="1"/>
    <col min="18" max="18" width="9.375" style="0" bestFit="1" customWidth="1"/>
    <col min="19" max="19" width="11.375" style="0" customWidth="1"/>
    <col min="20" max="20" width="11.00390625" style="0" customWidth="1"/>
    <col min="21" max="21" width="8.625" style="0" customWidth="1"/>
    <col min="22" max="23" width="6.375" style="0" customWidth="1"/>
    <col min="24" max="34" width="11.00390625" style="0" customWidth="1"/>
    <col min="35" max="35" width="4.125" style="0" customWidth="1"/>
    <col min="36" max="36" width="11.00390625" style="0" customWidth="1"/>
    <col min="37" max="37" width="5.625" style="0" customWidth="1"/>
    <col min="38" max="38" width="10.875" style="0" customWidth="1"/>
    <col min="39" max="39" width="9.00390625" style="0" customWidth="1"/>
    <col min="40" max="40" width="5.00390625" style="0" bestFit="1" customWidth="1"/>
    <col min="41" max="41" width="9.375" style="0" bestFit="1" customWidth="1"/>
    <col min="42" max="42" width="5.00390625" style="0" bestFit="1" customWidth="1"/>
    <col min="43" max="43" width="9.375" style="0" bestFit="1" customWidth="1"/>
    <col min="44" max="44" width="6.125" style="0" customWidth="1"/>
    <col min="45" max="45" width="9.00390625" style="0" customWidth="1"/>
    <col min="46" max="46" width="11.00390625" style="0" customWidth="1"/>
    <col min="47" max="47" width="7.00390625" style="0" customWidth="1"/>
    <col min="48" max="48" width="4.875" style="0" customWidth="1"/>
    <col min="49" max="49" width="4.50390625" style="0" customWidth="1"/>
    <col min="50" max="50" width="5.125" style="0" customWidth="1"/>
    <col min="51" max="51" width="4.625" style="0" customWidth="1"/>
    <col min="52" max="52" width="4.125" style="0" customWidth="1"/>
  </cols>
  <sheetData>
    <row r="1" spans="5:46" ht="15" customHeight="1">
      <c r="E1" s="323" t="s">
        <v>189</v>
      </c>
      <c r="F1" s="324"/>
      <c r="G1" s="324"/>
      <c r="H1" s="324"/>
      <c r="I1" s="325"/>
      <c r="J1" s="326" t="s">
        <v>150</v>
      </c>
      <c r="K1" s="327"/>
      <c r="L1" s="327"/>
      <c r="M1" s="328"/>
      <c r="N1" s="135" t="s">
        <v>151</v>
      </c>
      <c r="O1" s="326" t="s">
        <v>152</v>
      </c>
      <c r="P1" s="328"/>
      <c r="Q1" s="323" t="s">
        <v>153</v>
      </c>
      <c r="R1" s="324"/>
      <c r="S1" s="324"/>
      <c r="T1" s="324"/>
      <c r="U1" s="329"/>
      <c r="V1" s="330" t="s">
        <v>135</v>
      </c>
      <c r="W1" s="150"/>
      <c r="X1" s="323" t="s">
        <v>147</v>
      </c>
      <c r="Y1" s="329"/>
      <c r="Z1" s="336" t="s">
        <v>150</v>
      </c>
      <c r="AA1" s="337"/>
      <c r="AB1" s="323" t="s">
        <v>151</v>
      </c>
      <c r="AC1" s="329"/>
      <c r="AD1" s="336" t="s">
        <v>152</v>
      </c>
      <c r="AE1" s="338"/>
      <c r="AF1" s="337"/>
      <c r="AG1" s="323" t="s">
        <v>152</v>
      </c>
      <c r="AH1" s="329"/>
      <c r="AJ1" s="157" t="s">
        <v>50</v>
      </c>
      <c r="AK1" s="134"/>
      <c r="AL1" s="155" t="s">
        <v>154</v>
      </c>
      <c r="AM1" s="334" t="s">
        <v>54</v>
      </c>
      <c r="AN1" s="335"/>
      <c r="AO1" s="334" t="s">
        <v>54</v>
      </c>
      <c r="AP1" s="335"/>
      <c r="AQ1" s="334" t="s">
        <v>54</v>
      </c>
      <c r="AR1" s="335"/>
      <c r="AT1" t="s">
        <v>186</v>
      </c>
    </row>
    <row r="2" spans="1:44" ht="16.5" thickBot="1">
      <c r="A2" t="s">
        <v>194</v>
      </c>
      <c r="B2" t="s">
        <v>193</v>
      </c>
      <c r="C2" t="s">
        <v>195</v>
      </c>
      <c r="D2" t="s">
        <v>2</v>
      </c>
      <c r="E2" s="136" t="s">
        <v>116</v>
      </c>
      <c r="F2" s="137" t="s">
        <v>148</v>
      </c>
      <c r="G2" s="137" t="s">
        <v>171</v>
      </c>
      <c r="H2" s="137" t="s">
        <v>119</v>
      </c>
      <c r="I2" s="138" t="s">
        <v>149</v>
      </c>
      <c r="J2" s="136" t="s">
        <v>117</v>
      </c>
      <c r="K2" s="142" t="s">
        <v>179</v>
      </c>
      <c r="L2" s="142" t="s">
        <v>180</v>
      </c>
      <c r="M2" s="133" t="s">
        <v>181</v>
      </c>
      <c r="N2" s="143" t="s">
        <v>182</v>
      </c>
      <c r="O2" s="136" t="s">
        <v>118</v>
      </c>
      <c r="P2" s="138" t="s">
        <v>172</v>
      </c>
      <c r="Q2" s="144" t="s">
        <v>176</v>
      </c>
      <c r="R2" s="145" t="s">
        <v>175</v>
      </c>
      <c r="S2" s="145" t="s">
        <v>174</v>
      </c>
      <c r="T2" s="145" t="s">
        <v>173</v>
      </c>
      <c r="U2" s="146" t="s">
        <v>177</v>
      </c>
      <c r="V2" s="331"/>
      <c r="W2" s="150"/>
      <c r="X2" s="148" t="s">
        <v>50</v>
      </c>
      <c r="Y2" s="149" t="s">
        <v>43</v>
      </c>
      <c r="Z2" s="148" t="s">
        <v>50</v>
      </c>
      <c r="AA2" s="149" t="s">
        <v>43</v>
      </c>
      <c r="AB2" s="148" t="s">
        <v>50</v>
      </c>
      <c r="AC2" s="149" t="s">
        <v>43</v>
      </c>
      <c r="AD2" s="148" t="s">
        <v>187</v>
      </c>
      <c r="AE2" s="163" t="s">
        <v>188</v>
      </c>
      <c r="AF2" s="149" t="s">
        <v>43</v>
      </c>
      <c r="AG2" s="148" t="s">
        <v>50</v>
      </c>
      <c r="AH2" s="149" t="s">
        <v>43</v>
      </c>
      <c r="AJ2" s="158"/>
      <c r="AK2" s="154" t="s">
        <v>155</v>
      </c>
      <c r="AL2" s="155" t="e">
        <f>_xlfn.QUARTILE.INC($AJ$3:$AJ$21,1)</f>
        <v>#NAME?</v>
      </c>
      <c r="AM2" s="332" t="s">
        <v>160</v>
      </c>
      <c r="AN2" s="333"/>
      <c r="AO2" s="332" t="s">
        <v>158</v>
      </c>
      <c r="AP2" s="333"/>
      <c r="AQ2" s="332" t="s">
        <v>159</v>
      </c>
      <c r="AR2" s="333"/>
    </row>
    <row r="3" spans="1:46" ht="32.25" thickBot="1">
      <c r="A3" s="153" t="str">
        <f>IF('PI - PPG'!A3&lt;&gt;"",'PI - PPG'!A3,"")</f>
        <v>EF</v>
      </c>
      <c r="B3" s="153" t="str">
        <f>IF('PI - PPG'!B3&lt;&gt;"",'PI - PPG'!B3,"")</f>
        <v>UFPB/PB</v>
      </c>
      <c r="C3" s="153">
        <f>IF('PI - PPG'!C3&lt;&gt;"",'PI - PPG'!C3,"")</f>
        <v>1</v>
      </c>
      <c r="D3" s="153" t="str">
        <f>IF('PI - PPG'!D3&lt;&gt;"",'PI - PPG'!D3,"")</f>
        <v>ALEXANDRE SÉRGIO SILVA</v>
      </c>
      <c r="E3" s="166"/>
      <c r="F3" s="167"/>
      <c r="G3" s="167"/>
      <c r="H3" s="167"/>
      <c r="I3" s="241"/>
      <c r="J3" s="242"/>
      <c r="K3" s="243"/>
      <c r="L3" s="243">
        <v>6</v>
      </c>
      <c r="M3" s="244">
        <v>13</v>
      </c>
      <c r="N3" s="245">
        <v>1</v>
      </c>
      <c r="O3" s="242"/>
      <c r="P3" s="244"/>
      <c r="Q3" s="246"/>
      <c r="R3" s="247"/>
      <c r="S3" s="243"/>
      <c r="T3" s="247"/>
      <c r="U3" s="269"/>
      <c r="V3" s="331"/>
      <c r="W3" s="151">
        <f>'PI - PPG'!BB3</f>
        <v>3</v>
      </c>
      <c r="X3" s="139">
        <f>SUM(E3:I3)</f>
        <v>0</v>
      </c>
      <c r="Y3" s="140">
        <f>IF(X3&gt;=10,10,X3)</f>
        <v>0</v>
      </c>
      <c r="Z3" s="147">
        <f>(J3+K3+L3+M3)</f>
        <v>19</v>
      </c>
      <c r="AA3" s="141">
        <f>IF(Z3&gt;=10,10,Z3)</f>
        <v>10</v>
      </c>
      <c r="AB3" s="139">
        <f>SUM(N3)</f>
        <v>1</v>
      </c>
      <c r="AC3" s="140">
        <f>AB3*5</f>
        <v>5</v>
      </c>
      <c r="AD3" s="147">
        <f>O3*8</f>
        <v>0</v>
      </c>
      <c r="AE3" s="164">
        <f>P3*5</f>
        <v>0</v>
      </c>
      <c r="AF3" s="141">
        <f>SUM(AD3:AE3)</f>
        <v>0</v>
      </c>
      <c r="AG3" s="139">
        <f>SUM(Q3:U3)</f>
        <v>0</v>
      </c>
      <c r="AH3" s="140">
        <f>AG3*10</f>
        <v>0</v>
      </c>
      <c r="AJ3" s="159">
        <f aca="true" t="shared" si="0" ref="AJ3:AJ21">IF(W3&gt;0,SUM(AH3,AF3,AC3,AA3,Y3),"")</f>
        <v>15</v>
      </c>
      <c r="AK3" s="154" t="s">
        <v>156</v>
      </c>
      <c r="AL3" s="155" t="e">
        <f>_xlfn.QUARTILE.INC($AJ$3:$AJ$21,2)</f>
        <v>#NAME?</v>
      </c>
      <c r="AM3" s="322" t="e">
        <f aca="true" t="shared" si="1" ref="AM3:AM20">IF(AJ3="","",(IF($AJ3&gt;$AL$2,"SIM","NÃO")))</f>
        <v>#NAME?</v>
      </c>
      <c r="AN3" s="280"/>
      <c r="AO3" s="322" t="e">
        <f>IF(AJ3="","",(IF($AJ3&gt;$AL$3,"SIM","NÃO")))</f>
        <v>#NAME?</v>
      </c>
      <c r="AP3" s="280"/>
      <c r="AQ3" s="322" t="e">
        <f>IF(AJ3="","",(IF($AJ3&gt;$AL$4,"SIM","NÃO")))</f>
        <v>#NAME?</v>
      </c>
      <c r="AR3" s="280"/>
      <c r="AT3" s="160">
        <f aca="true" t="shared" si="2" ref="AT3:AT21">AJ3/$AJ$23*100</f>
        <v>0.6909258406264395</v>
      </c>
    </row>
    <row r="4" spans="1:46" ht="32.25" thickBot="1">
      <c r="A4" s="153" t="str">
        <f>IF('PI - PPG'!A4&lt;&gt;"",'PI - PPG'!A4,"")</f>
        <v>EF</v>
      </c>
      <c r="B4" s="25" t="str">
        <f>IF('PI - PPG'!B4&lt;&gt;"",'PI - PPG'!B4,"")</f>
        <v>UFPB/PB</v>
      </c>
      <c r="C4" s="25">
        <f>IF('PI - PPG'!C4&lt;&gt;"",'PI - PPG'!C4,"")</f>
        <v>2</v>
      </c>
      <c r="D4" s="121" t="str">
        <f>IF('PI - PPG'!D4&lt;&gt;"",'PI - PPG'!D4,"")</f>
        <v>AMILTON DA CRUZ SANTOS</v>
      </c>
      <c r="E4" s="218"/>
      <c r="F4" s="219"/>
      <c r="G4" s="219"/>
      <c r="H4" s="219"/>
      <c r="I4" s="248"/>
      <c r="J4" s="242"/>
      <c r="K4" s="243"/>
      <c r="L4" s="243">
        <v>1</v>
      </c>
      <c r="M4" s="244">
        <v>10</v>
      </c>
      <c r="N4" s="245">
        <v>5</v>
      </c>
      <c r="O4" s="242"/>
      <c r="P4" s="244">
        <v>10</v>
      </c>
      <c r="Q4" s="249"/>
      <c r="R4" s="250"/>
      <c r="S4" s="251"/>
      <c r="T4" s="250"/>
      <c r="U4" s="270"/>
      <c r="V4" s="331"/>
      <c r="W4" s="151">
        <f>'PI - PPG'!BB4</f>
        <v>3</v>
      </c>
      <c r="X4" s="139">
        <f aca="true" t="shared" si="3" ref="X4:X21">SUM(E4:I4)</f>
        <v>0</v>
      </c>
      <c r="Y4" s="140">
        <f aca="true" t="shared" si="4" ref="Y4:Y21">IF(X4&gt;=10,10,X4)</f>
        <v>0</v>
      </c>
      <c r="Z4" s="147">
        <f aca="true" t="shared" si="5" ref="Z4:Z9">SUM(J4:M4)*20</f>
        <v>220</v>
      </c>
      <c r="AA4" s="141">
        <f aca="true" t="shared" si="6" ref="AA4:AA21">IF(Z4&gt;=10,10,Z4)</f>
        <v>10</v>
      </c>
      <c r="AB4" s="139">
        <f aca="true" t="shared" si="7" ref="AB4:AB9">SUM(N4)*40</f>
        <v>200</v>
      </c>
      <c r="AC4" s="140">
        <f aca="true" t="shared" si="8" ref="AC4:AC21">IF(AB4&gt;=120,120,AB4)</f>
        <v>120</v>
      </c>
      <c r="AD4" s="147">
        <f aca="true" t="shared" si="9" ref="AD4:AD21">O4*8</f>
        <v>0</v>
      </c>
      <c r="AE4" s="164">
        <f aca="true" t="shared" si="10" ref="AE4:AE21">P4*5</f>
        <v>50</v>
      </c>
      <c r="AF4" s="141">
        <f aca="true" t="shared" si="11" ref="AF4:AF21">SUM(AD4:AE4)</f>
        <v>50</v>
      </c>
      <c r="AG4" s="139">
        <f aca="true" t="shared" si="12" ref="AG4:AG21">SUM(Q4:U4)</f>
        <v>0</v>
      </c>
      <c r="AH4" s="140">
        <f aca="true" t="shared" si="13" ref="AH4:AH21">AG4*10</f>
        <v>0</v>
      </c>
      <c r="AJ4" s="159">
        <f t="shared" si="0"/>
        <v>180</v>
      </c>
      <c r="AK4" s="154" t="s">
        <v>157</v>
      </c>
      <c r="AL4" s="155" t="e">
        <f>_xlfn.QUARTILE.INC($AJ$3:$AJ$21,3)</f>
        <v>#NAME?</v>
      </c>
      <c r="AM4" s="322" t="e">
        <f t="shared" si="1"/>
        <v>#NAME?</v>
      </c>
      <c r="AN4" s="280"/>
      <c r="AO4" s="322" t="e">
        <f aca="true" t="shared" si="14" ref="AO4:AO21">IF(AJ4="","",(IF($AJ4&gt;$AL$3,"SIM","NÃO")))</f>
        <v>#NAME?</v>
      </c>
      <c r="AP4" s="280"/>
      <c r="AQ4" s="322" t="e">
        <f aca="true" t="shared" si="15" ref="AQ4:AQ21">IF(AJ4="","",(IF($AJ4&gt;$AL$4,"SIM","NÃO")))</f>
        <v>#NAME?</v>
      </c>
      <c r="AR4" s="280"/>
      <c r="AT4" s="160">
        <f t="shared" si="2"/>
        <v>8.291110087517273</v>
      </c>
    </row>
    <row r="5" spans="1:46" ht="32.25" thickBot="1">
      <c r="A5" s="153" t="str">
        <f>IF('PI - PPG'!A5&lt;&gt;"",'PI - PPG'!A5,"")</f>
        <v>EF</v>
      </c>
      <c r="B5" s="25" t="str">
        <f>IF('PI - PPG'!B5&lt;&gt;"",'PI - PPG'!B5,"")</f>
        <v>UFPB/PB</v>
      </c>
      <c r="C5" s="25">
        <f>IF('PI - PPG'!C5&lt;&gt;"",'PI - PPG'!C5,"")</f>
        <v>3</v>
      </c>
      <c r="D5" s="121" t="str">
        <f>IF('PI - PPG'!D5&lt;&gt;"",'PI - PPG'!D5,"")</f>
        <v>CAROLINE OLIVEIRA MARTINS</v>
      </c>
      <c r="E5" s="168"/>
      <c r="F5" s="96"/>
      <c r="G5" s="96"/>
      <c r="H5" s="96"/>
      <c r="I5" s="252"/>
      <c r="J5" s="253"/>
      <c r="K5" s="254"/>
      <c r="L5" s="254"/>
      <c r="M5" s="255"/>
      <c r="N5" s="256"/>
      <c r="O5" s="253"/>
      <c r="P5" s="255"/>
      <c r="Q5" s="257"/>
      <c r="R5" s="237"/>
      <c r="S5" s="237"/>
      <c r="T5" s="237"/>
      <c r="U5" s="271"/>
      <c r="V5" s="331"/>
      <c r="W5" s="151">
        <f>'PI - PPG'!BB5</f>
        <v>0</v>
      </c>
      <c r="X5" s="139">
        <f t="shared" si="3"/>
        <v>0</v>
      </c>
      <c r="Y5" s="140">
        <f t="shared" si="4"/>
        <v>0</v>
      </c>
      <c r="Z5" s="147">
        <f t="shared" si="5"/>
        <v>0</v>
      </c>
      <c r="AA5" s="141">
        <f t="shared" si="6"/>
        <v>0</v>
      </c>
      <c r="AB5" s="139">
        <f t="shared" si="7"/>
        <v>0</v>
      </c>
      <c r="AC5" s="140">
        <f t="shared" si="8"/>
        <v>0</v>
      </c>
      <c r="AD5" s="147">
        <f t="shared" si="9"/>
        <v>0</v>
      </c>
      <c r="AE5" s="164">
        <f t="shared" si="10"/>
        <v>0</v>
      </c>
      <c r="AF5" s="141">
        <f t="shared" si="11"/>
        <v>0</v>
      </c>
      <c r="AG5" s="139">
        <f t="shared" si="12"/>
        <v>0</v>
      </c>
      <c r="AH5" s="140">
        <f t="shared" si="13"/>
        <v>0</v>
      </c>
      <c r="AJ5" s="159">
        <f t="shared" si="0"/>
      </c>
      <c r="AK5" s="56"/>
      <c r="AM5" s="322">
        <f t="shared" si="1"/>
      </c>
      <c r="AN5" s="280"/>
      <c r="AO5" s="322">
        <f t="shared" si="14"/>
      </c>
      <c r="AP5" s="280"/>
      <c r="AQ5" s="322">
        <f t="shared" si="15"/>
      </c>
      <c r="AR5" s="280"/>
      <c r="AT5" s="160" t="e">
        <f t="shared" si="2"/>
        <v>#VALUE!</v>
      </c>
    </row>
    <row r="6" spans="1:46" ht="32.25" thickBot="1">
      <c r="A6" s="153" t="str">
        <f>IF('PI - PPG'!A6&lt;&gt;"",'PI - PPG'!A6,"")</f>
        <v>EF</v>
      </c>
      <c r="B6" s="25" t="str">
        <f>IF('PI - PPG'!B6&lt;&gt;"",'PI - PPG'!B6,"")</f>
        <v>UPE/PE</v>
      </c>
      <c r="C6" s="25">
        <f>IF('PI - PPG'!C6&lt;&gt;"",'PI - PPG'!C6,"")</f>
        <v>4</v>
      </c>
      <c r="D6" s="121" t="str">
        <f>IF('PI - PPG'!D6&lt;&gt;"",'PI - PPG'!D6,"")</f>
        <v>CLARA M. MONTEIRO S. DE FREITAS</v>
      </c>
      <c r="E6" s="168"/>
      <c r="F6" s="96"/>
      <c r="G6" s="96"/>
      <c r="H6" s="96"/>
      <c r="I6" s="252"/>
      <c r="J6" s="253"/>
      <c r="K6" s="254"/>
      <c r="L6" s="254">
        <v>1</v>
      </c>
      <c r="M6" s="255">
        <v>9</v>
      </c>
      <c r="N6" s="256"/>
      <c r="O6" s="253"/>
      <c r="P6" s="255">
        <v>3</v>
      </c>
      <c r="Q6" s="257"/>
      <c r="R6" s="237"/>
      <c r="S6" s="237"/>
      <c r="T6" s="237"/>
      <c r="U6" s="271"/>
      <c r="V6" s="331"/>
      <c r="W6" s="151">
        <f>'PI - PPG'!BB6</f>
        <v>3</v>
      </c>
      <c r="X6" s="139">
        <f t="shared" si="3"/>
        <v>0</v>
      </c>
      <c r="Y6" s="140">
        <f t="shared" si="4"/>
        <v>0</v>
      </c>
      <c r="Z6" s="147">
        <f t="shared" si="5"/>
        <v>200</v>
      </c>
      <c r="AA6" s="141">
        <f t="shared" si="6"/>
        <v>10</v>
      </c>
      <c r="AB6" s="139">
        <f t="shared" si="7"/>
        <v>0</v>
      </c>
      <c r="AC6" s="140">
        <f t="shared" si="8"/>
        <v>0</v>
      </c>
      <c r="AD6" s="147">
        <f t="shared" si="9"/>
        <v>0</v>
      </c>
      <c r="AE6" s="164">
        <f t="shared" si="10"/>
        <v>15</v>
      </c>
      <c r="AF6" s="141">
        <f t="shared" si="11"/>
        <v>15</v>
      </c>
      <c r="AG6" s="139">
        <f t="shared" si="12"/>
        <v>0</v>
      </c>
      <c r="AH6" s="140">
        <f t="shared" si="13"/>
        <v>0</v>
      </c>
      <c r="AJ6" s="159">
        <f t="shared" si="0"/>
        <v>25</v>
      </c>
      <c r="AM6" s="322" t="e">
        <f t="shared" si="1"/>
        <v>#NAME?</v>
      </c>
      <c r="AN6" s="280"/>
      <c r="AO6" s="322" t="e">
        <f t="shared" si="14"/>
        <v>#NAME?</v>
      </c>
      <c r="AP6" s="280"/>
      <c r="AQ6" s="322" t="e">
        <f t="shared" si="15"/>
        <v>#NAME?</v>
      </c>
      <c r="AR6" s="280"/>
      <c r="AT6" s="160">
        <f t="shared" si="2"/>
        <v>1.1515430677107323</v>
      </c>
    </row>
    <row r="7" spans="1:46" ht="32.25" thickBot="1">
      <c r="A7" s="153" t="str">
        <f>IF('PI - PPG'!A7&lt;&gt;"",'PI - PPG'!A7,"")</f>
        <v>EF</v>
      </c>
      <c r="B7" s="25" t="str">
        <f>IF('PI - PPG'!B7&lt;&gt;"",'PI - PPG'!B7,"")</f>
        <v>UFPB/PB</v>
      </c>
      <c r="C7" s="25">
        <f>IF('PI - PPG'!C7&lt;&gt;"",'PI - PPG'!C7,"")</f>
        <v>5</v>
      </c>
      <c r="D7" s="121" t="str">
        <f>IF('PI - PPG'!D7&lt;&gt;"",'PI - PPG'!D7,"")</f>
        <v>DANIELA KARINA DA SILVA</v>
      </c>
      <c r="E7" s="216"/>
      <c r="F7" s="214"/>
      <c r="G7" s="214"/>
      <c r="H7" s="214"/>
      <c r="I7" s="258"/>
      <c r="J7" s="259"/>
      <c r="K7" s="260"/>
      <c r="L7" s="260"/>
      <c r="M7" s="261">
        <v>3</v>
      </c>
      <c r="N7" s="262"/>
      <c r="O7" s="259"/>
      <c r="P7" s="261"/>
      <c r="Q7" s="263"/>
      <c r="R7" s="238"/>
      <c r="S7" s="238"/>
      <c r="T7" s="238"/>
      <c r="U7" s="272"/>
      <c r="V7" s="331"/>
      <c r="W7" s="151">
        <f>'PI - PPG'!BB7</f>
        <v>0</v>
      </c>
      <c r="X7" s="139">
        <f t="shared" si="3"/>
        <v>0</v>
      </c>
      <c r="Y7" s="140">
        <f t="shared" si="4"/>
        <v>0</v>
      </c>
      <c r="Z7" s="147">
        <f t="shared" si="5"/>
        <v>60</v>
      </c>
      <c r="AA7" s="141">
        <f t="shared" si="6"/>
        <v>10</v>
      </c>
      <c r="AB7" s="139">
        <f t="shared" si="7"/>
        <v>0</v>
      </c>
      <c r="AC7" s="140">
        <f t="shared" si="8"/>
        <v>0</v>
      </c>
      <c r="AD7" s="147">
        <f t="shared" si="9"/>
        <v>0</v>
      </c>
      <c r="AE7" s="164">
        <f t="shared" si="10"/>
        <v>0</v>
      </c>
      <c r="AF7" s="141">
        <f t="shared" si="11"/>
        <v>0</v>
      </c>
      <c r="AG7" s="139">
        <f t="shared" si="12"/>
        <v>0</v>
      </c>
      <c r="AH7" s="140">
        <f t="shared" si="13"/>
        <v>0</v>
      </c>
      <c r="AJ7" s="159">
        <f t="shared" si="0"/>
      </c>
      <c r="AM7" s="322">
        <f t="shared" si="1"/>
      </c>
      <c r="AN7" s="280"/>
      <c r="AO7" s="322">
        <f t="shared" si="14"/>
      </c>
      <c r="AP7" s="280"/>
      <c r="AQ7" s="322">
        <f t="shared" si="15"/>
      </c>
      <c r="AR7" s="280"/>
      <c r="AT7" s="160" t="e">
        <f t="shared" si="2"/>
        <v>#VALUE!</v>
      </c>
    </row>
    <row r="8" spans="1:46" ht="32.25" thickBot="1">
      <c r="A8" s="153" t="str">
        <f>IF('PI - PPG'!A8&lt;&gt;"",'PI - PPG'!A8,"")</f>
        <v>EF</v>
      </c>
      <c r="B8" s="25" t="str">
        <f>IF('PI - PPG'!B8&lt;&gt;"",'PI - PPG'!B8,"")</f>
        <v>UPE/PE</v>
      </c>
      <c r="C8" s="25">
        <f>IF('PI - PPG'!C8&lt;&gt;"",'PI - PPG'!C8,"")</f>
        <v>6</v>
      </c>
      <c r="D8" s="121" t="str">
        <f>IF('PI - PPG'!D8&lt;&gt;"",'PI - PPG'!D8,"")</f>
        <v>FERNANDO J. DE SÁ P. GUIMARÃES</v>
      </c>
      <c r="E8" s="168"/>
      <c r="F8" s="96"/>
      <c r="G8" s="96"/>
      <c r="H8" s="96"/>
      <c r="I8" s="252"/>
      <c r="J8" s="253"/>
      <c r="K8" s="254"/>
      <c r="L8" s="254"/>
      <c r="M8" s="255"/>
      <c r="N8" s="256"/>
      <c r="O8" s="253"/>
      <c r="P8" s="255"/>
      <c r="Q8" s="257"/>
      <c r="R8" s="237"/>
      <c r="S8" s="237"/>
      <c r="T8" s="237"/>
      <c r="U8" s="271"/>
      <c r="V8" s="331"/>
      <c r="W8" s="151">
        <f>'PI - PPG'!BB8</f>
        <v>0</v>
      </c>
      <c r="X8" s="139">
        <f t="shared" si="3"/>
        <v>0</v>
      </c>
      <c r="Y8" s="140">
        <f t="shared" si="4"/>
        <v>0</v>
      </c>
      <c r="Z8" s="147">
        <f t="shared" si="5"/>
        <v>0</v>
      </c>
      <c r="AA8" s="141">
        <f t="shared" si="6"/>
        <v>0</v>
      </c>
      <c r="AB8" s="139">
        <f t="shared" si="7"/>
        <v>0</v>
      </c>
      <c r="AC8" s="140">
        <f t="shared" si="8"/>
        <v>0</v>
      </c>
      <c r="AD8" s="147">
        <f t="shared" si="9"/>
        <v>0</v>
      </c>
      <c r="AE8" s="164">
        <f t="shared" si="10"/>
        <v>0</v>
      </c>
      <c r="AF8" s="141">
        <f t="shared" si="11"/>
        <v>0</v>
      </c>
      <c r="AG8" s="139">
        <f t="shared" si="12"/>
        <v>0</v>
      </c>
      <c r="AH8" s="140">
        <f t="shared" si="13"/>
        <v>0</v>
      </c>
      <c r="AJ8" s="159">
        <f t="shared" si="0"/>
      </c>
      <c r="AM8" s="322">
        <f t="shared" si="1"/>
      </c>
      <c r="AN8" s="280"/>
      <c r="AO8" s="322">
        <f t="shared" si="14"/>
      </c>
      <c r="AP8" s="280"/>
      <c r="AQ8" s="322">
        <f t="shared" si="15"/>
      </c>
      <c r="AR8" s="280"/>
      <c r="AT8" s="160" t="e">
        <f t="shared" si="2"/>
        <v>#VALUE!</v>
      </c>
    </row>
    <row r="9" spans="1:46" ht="32.25" thickBot="1">
      <c r="A9" s="153" t="str">
        <f>IF('PI - PPG'!A9&lt;&gt;"",'PI - PPG'!A9,"")</f>
        <v>EF</v>
      </c>
      <c r="B9" s="25" t="str">
        <f>IF('PI - PPG'!B9&lt;&gt;"",'PI - PPG'!B9,"")</f>
        <v>UFPB/PB</v>
      </c>
      <c r="C9" s="25">
        <f>IF('PI - PPG'!C9&lt;&gt;"",'PI - PPG'!C9,"")</f>
        <v>7</v>
      </c>
      <c r="D9" s="121" t="str">
        <f>IF('PI - PPG'!D9&lt;&gt;"",'PI - PPG'!D9,"")</f>
        <v>IRAQUITAN DE OLIVEIRA CAMINHA</v>
      </c>
      <c r="E9" s="166"/>
      <c r="F9" s="167"/>
      <c r="G9" s="167"/>
      <c r="H9" s="167"/>
      <c r="I9" s="241"/>
      <c r="J9" s="242"/>
      <c r="K9" s="243">
        <v>2</v>
      </c>
      <c r="L9" s="243"/>
      <c r="M9" s="244"/>
      <c r="N9" s="245"/>
      <c r="O9" s="242">
        <v>2</v>
      </c>
      <c r="P9" s="244">
        <v>6</v>
      </c>
      <c r="Q9" s="246"/>
      <c r="R9" s="247"/>
      <c r="S9" s="243">
        <v>1</v>
      </c>
      <c r="T9" s="247"/>
      <c r="U9" s="269"/>
      <c r="V9" s="331"/>
      <c r="W9" s="151">
        <f>'PI - PPG'!BB9</f>
        <v>3</v>
      </c>
      <c r="X9" s="139">
        <f t="shared" si="3"/>
        <v>0</v>
      </c>
      <c r="Y9" s="140">
        <f t="shared" si="4"/>
        <v>0</v>
      </c>
      <c r="Z9" s="147">
        <f t="shared" si="5"/>
        <v>40</v>
      </c>
      <c r="AA9" s="141">
        <f t="shared" si="6"/>
        <v>10</v>
      </c>
      <c r="AB9" s="139">
        <f t="shared" si="7"/>
        <v>0</v>
      </c>
      <c r="AC9" s="140">
        <f t="shared" si="8"/>
        <v>0</v>
      </c>
      <c r="AD9" s="147">
        <f t="shared" si="9"/>
        <v>16</v>
      </c>
      <c r="AE9" s="164">
        <f t="shared" si="10"/>
        <v>30</v>
      </c>
      <c r="AF9" s="141">
        <f t="shared" si="11"/>
        <v>46</v>
      </c>
      <c r="AG9" s="139">
        <f t="shared" si="12"/>
        <v>1</v>
      </c>
      <c r="AH9" s="140">
        <f t="shared" si="13"/>
        <v>10</v>
      </c>
      <c r="AJ9" s="159">
        <f t="shared" si="0"/>
        <v>66</v>
      </c>
      <c r="AM9" s="322" t="e">
        <f t="shared" si="1"/>
        <v>#NAME?</v>
      </c>
      <c r="AN9" s="280"/>
      <c r="AO9" s="322" t="e">
        <f t="shared" si="14"/>
        <v>#NAME?</v>
      </c>
      <c r="AP9" s="280"/>
      <c r="AQ9" s="322" t="e">
        <f t="shared" si="15"/>
        <v>#NAME?</v>
      </c>
      <c r="AR9" s="280"/>
      <c r="AT9" s="160">
        <f t="shared" si="2"/>
        <v>3.0400736987563333</v>
      </c>
    </row>
    <row r="10" spans="1:46" ht="32.25" thickBot="1">
      <c r="A10" s="153" t="str">
        <f>IF('PI - PPG'!A10&lt;&gt;"",'PI - PPG'!A10,"")</f>
        <v>EF</v>
      </c>
      <c r="B10" s="25" t="str">
        <f>IF('PI - PPG'!B10&lt;&gt;"",'PI - PPG'!B10,"")</f>
        <v>UFPB/PB</v>
      </c>
      <c r="C10" s="25">
        <f>IF('PI - PPG'!C10&lt;&gt;"",'PI - PPG'!C10,"")</f>
        <v>8</v>
      </c>
      <c r="D10" s="121" t="str">
        <f>IF('PI - PPG'!D10&lt;&gt;"",'PI - PPG'!D10,"")</f>
        <v>JOSÉ CAZUZA DE FARIAS JÚNIOR</v>
      </c>
      <c r="E10" s="166"/>
      <c r="F10" s="167"/>
      <c r="G10" s="167"/>
      <c r="H10" s="167"/>
      <c r="I10" s="241"/>
      <c r="J10" s="242">
        <v>1</v>
      </c>
      <c r="K10" s="243"/>
      <c r="L10" s="243">
        <v>5</v>
      </c>
      <c r="M10" s="244">
        <v>12</v>
      </c>
      <c r="N10" s="245"/>
      <c r="O10" s="242">
        <v>3</v>
      </c>
      <c r="P10" s="244">
        <v>18</v>
      </c>
      <c r="Q10" s="246"/>
      <c r="R10" s="247"/>
      <c r="S10" s="243"/>
      <c r="T10" s="247"/>
      <c r="U10" s="269"/>
      <c r="V10" s="331"/>
      <c r="W10" s="151">
        <f>'PI - PPG'!BB10</f>
        <v>3</v>
      </c>
      <c r="X10" s="139">
        <f t="shared" si="3"/>
        <v>0</v>
      </c>
      <c r="Y10" s="140">
        <f t="shared" si="4"/>
        <v>0</v>
      </c>
      <c r="Z10" s="147">
        <f aca="true" t="shared" si="16" ref="Z10:Z21">SUM(J10:M10)*20</f>
        <v>360</v>
      </c>
      <c r="AA10" s="141">
        <f t="shared" si="6"/>
        <v>10</v>
      </c>
      <c r="AB10" s="139">
        <f aca="true" t="shared" si="17" ref="AB10:AB21">SUM(N10)*40</f>
        <v>0</v>
      </c>
      <c r="AC10" s="140">
        <f t="shared" si="8"/>
        <v>0</v>
      </c>
      <c r="AD10" s="147">
        <f t="shared" si="9"/>
        <v>24</v>
      </c>
      <c r="AE10" s="164">
        <f t="shared" si="10"/>
        <v>90</v>
      </c>
      <c r="AF10" s="141">
        <f t="shared" si="11"/>
        <v>114</v>
      </c>
      <c r="AG10" s="139">
        <f t="shared" si="12"/>
        <v>0</v>
      </c>
      <c r="AH10" s="140">
        <f t="shared" si="13"/>
        <v>0</v>
      </c>
      <c r="AJ10" s="159">
        <f t="shared" si="0"/>
        <v>124</v>
      </c>
      <c r="AM10" s="322" t="e">
        <f t="shared" si="1"/>
        <v>#NAME?</v>
      </c>
      <c r="AN10" s="280"/>
      <c r="AO10" s="322" t="e">
        <f t="shared" si="14"/>
        <v>#NAME?</v>
      </c>
      <c r="AP10" s="280"/>
      <c r="AQ10" s="322" t="e">
        <f t="shared" si="15"/>
        <v>#NAME?</v>
      </c>
      <c r="AR10" s="280"/>
      <c r="AT10" s="160">
        <f t="shared" si="2"/>
        <v>5.711653615845233</v>
      </c>
    </row>
    <row r="11" spans="1:46" ht="32.25" thickBot="1">
      <c r="A11" s="153" t="str">
        <f>IF('PI - PPG'!A11&lt;&gt;"",'PI - PPG'!A11,"")</f>
        <v>EF</v>
      </c>
      <c r="B11" s="25" t="str">
        <f>IF('PI - PPG'!B11&lt;&gt;"",'PI - PPG'!B11,"")</f>
        <v>UPE/PE</v>
      </c>
      <c r="C11" s="25">
        <f>IF('PI - PPG'!C11&lt;&gt;"",'PI - PPG'!C11,"")</f>
        <v>9</v>
      </c>
      <c r="D11" s="121" t="str">
        <f>IF('PI - PPG'!D11&lt;&gt;"",'PI - PPG'!D11,"")</f>
        <v>MANOEL DA CUNHA COSTA</v>
      </c>
      <c r="E11" s="168"/>
      <c r="F11" s="96"/>
      <c r="G11" s="96"/>
      <c r="H11" s="96"/>
      <c r="I11" s="252">
        <v>10</v>
      </c>
      <c r="J11" s="253">
        <v>5</v>
      </c>
      <c r="K11" s="254"/>
      <c r="L11" s="254">
        <v>5</v>
      </c>
      <c r="M11" s="255"/>
      <c r="N11" s="256">
        <v>10</v>
      </c>
      <c r="O11" s="253"/>
      <c r="P11" s="255">
        <v>1</v>
      </c>
      <c r="Q11" s="264"/>
      <c r="R11" s="237"/>
      <c r="S11" s="237"/>
      <c r="T11" s="237"/>
      <c r="U11" s="271">
        <v>2</v>
      </c>
      <c r="V11" s="331"/>
      <c r="W11" s="151">
        <f>'PI - PPG'!BB11</f>
        <v>3</v>
      </c>
      <c r="X11" s="139">
        <f t="shared" si="3"/>
        <v>10</v>
      </c>
      <c r="Y11" s="140">
        <f t="shared" si="4"/>
        <v>10</v>
      </c>
      <c r="Z11" s="147">
        <f t="shared" si="16"/>
        <v>200</v>
      </c>
      <c r="AA11" s="141">
        <f t="shared" si="6"/>
        <v>10</v>
      </c>
      <c r="AB11" s="139">
        <f t="shared" si="17"/>
        <v>400</v>
      </c>
      <c r="AC11" s="140">
        <f t="shared" si="8"/>
        <v>120</v>
      </c>
      <c r="AD11" s="147">
        <f t="shared" si="9"/>
        <v>0</v>
      </c>
      <c r="AE11" s="164">
        <f t="shared" si="10"/>
        <v>5</v>
      </c>
      <c r="AF11" s="141">
        <f t="shared" si="11"/>
        <v>5</v>
      </c>
      <c r="AG11" s="139">
        <f t="shared" si="12"/>
        <v>2</v>
      </c>
      <c r="AH11" s="140">
        <f t="shared" si="13"/>
        <v>20</v>
      </c>
      <c r="AJ11" s="159">
        <f t="shared" si="0"/>
        <v>165</v>
      </c>
      <c r="AM11" s="322" t="e">
        <f t="shared" si="1"/>
        <v>#NAME?</v>
      </c>
      <c r="AN11" s="280"/>
      <c r="AO11" s="322" t="e">
        <f t="shared" si="14"/>
        <v>#NAME?</v>
      </c>
      <c r="AP11" s="280"/>
      <c r="AQ11" s="322" t="e">
        <f t="shared" si="15"/>
        <v>#NAME?</v>
      </c>
      <c r="AR11" s="280"/>
      <c r="AT11" s="160">
        <f t="shared" si="2"/>
        <v>7.6001842468908345</v>
      </c>
    </row>
    <row r="12" spans="1:46" ht="32.25" thickBot="1">
      <c r="A12" s="153" t="str">
        <f>IF('PI - PPG'!A12&lt;&gt;"",'PI - PPG'!A12,"")</f>
        <v>EF</v>
      </c>
      <c r="B12" s="25" t="str">
        <f>IF('PI - PPG'!B12&lt;&gt;"",'PI - PPG'!B12,"")</f>
        <v>UPE/PE</v>
      </c>
      <c r="C12" s="25">
        <f>IF('PI - PPG'!C12&lt;&gt;"",'PI - PPG'!C12,"")</f>
        <v>10</v>
      </c>
      <c r="D12" s="121" t="str">
        <f>IF('PI - PPG'!D12&lt;&gt;"",'PI - PPG'!D12,"")</f>
        <v>MARCELO SOARES T. DE MELO</v>
      </c>
      <c r="E12" s="168"/>
      <c r="F12" s="96"/>
      <c r="G12" s="96"/>
      <c r="H12" s="96"/>
      <c r="I12" s="252">
        <v>1</v>
      </c>
      <c r="J12" s="253">
        <v>4</v>
      </c>
      <c r="K12" s="254">
        <v>3</v>
      </c>
      <c r="L12" s="254">
        <v>4</v>
      </c>
      <c r="M12" s="255"/>
      <c r="N12" s="256">
        <v>15</v>
      </c>
      <c r="O12" s="253">
        <v>1</v>
      </c>
      <c r="P12" s="255">
        <v>9</v>
      </c>
      <c r="Q12" s="264"/>
      <c r="R12" s="237"/>
      <c r="S12" s="237"/>
      <c r="T12" s="237"/>
      <c r="U12" s="271"/>
      <c r="V12" s="331"/>
      <c r="W12" s="151">
        <f>'PI - PPG'!BB12</f>
        <v>3</v>
      </c>
      <c r="X12" s="139">
        <f t="shared" si="3"/>
        <v>1</v>
      </c>
      <c r="Y12" s="140">
        <f t="shared" si="4"/>
        <v>1</v>
      </c>
      <c r="Z12" s="147">
        <f t="shared" si="16"/>
        <v>220</v>
      </c>
      <c r="AA12" s="141">
        <f t="shared" si="6"/>
        <v>10</v>
      </c>
      <c r="AB12" s="139">
        <f t="shared" si="17"/>
        <v>600</v>
      </c>
      <c r="AC12" s="140">
        <f t="shared" si="8"/>
        <v>120</v>
      </c>
      <c r="AD12" s="147">
        <f t="shared" si="9"/>
        <v>8</v>
      </c>
      <c r="AE12" s="164">
        <f t="shared" si="10"/>
        <v>45</v>
      </c>
      <c r="AF12" s="141">
        <f t="shared" si="11"/>
        <v>53</v>
      </c>
      <c r="AG12" s="139">
        <f t="shared" si="12"/>
        <v>0</v>
      </c>
      <c r="AH12" s="140">
        <f t="shared" si="13"/>
        <v>0</v>
      </c>
      <c r="AJ12" s="159">
        <f t="shared" si="0"/>
        <v>184</v>
      </c>
      <c r="AM12" s="322" t="e">
        <f t="shared" si="1"/>
        <v>#NAME?</v>
      </c>
      <c r="AN12" s="280"/>
      <c r="AO12" s="322" t="e">
        <f t="shared" si="14"/>
        <v>#NAME?</v>
      </c>
      <c r="AP12" s="280"/>
      <c r="AQ12" s="322" t="e">
        <f t="shared" si="15"/>
        <v>#NAME?</v>
      </c>
      <c r="AR12" s="280"/>
      <c r="AT12" s="160">
        <f t="shared" si="2"/>
        <v>8.47535697835099</v>
      </c>
    </row>
    <row r="13" spans="1:46" ht="32.25" thickBot="1">
      <c r="A13" s="153" t="str">
        <f>IF('PI - PPG'!A13&lt;&gt;"",'PI - PPG'!A13,"")</f>
        <v>EF</v>
      </c>
      <c r="B13" s="25" t="str">
        <f>IF('PI - PPG'!B13&lt;&gt;"",'PI - PPG'!B13,"")</f>
        <v>UPE/PE</v>
      </c>
      <c r="C13" s="25">
        <f>IF('PI - PPG'!C13&lt;&gt;"",'PI - PPG'!C13,"")</f>
        <v>11</v>
      </c>
      <c r="D13" s="121" t="str">
        <f>IF('PI - PPG'!D13&lt;&gt;"",'PI - PPG'!D13,"")</f>
        <v>MARCÍLIO B. M. DE SOUZA JÚNIOR</v>
      </c>
      <c r="E13" s="168"/>
      <c r="F13" s="96"/>
      <c r="G13" s="96"/>
      <c r="H13" s="96"/>
      <c r="I13" s="252">
        <v>1</v>
      </c>
      <c r="J13" s="253">
        <v>9</v>
      </c>
      <c r="K13" s="254">
        <v>1</v>
      </c>
      <c r="L13" s="254"/>
      <c r="M13" s="255"/>
      <c r="N13" s="256">
        <v>15</v>
      </c>
      <c r="O13" s="253">
        <v>9</v>
      </c>
      <c r="P13" s="255">
        <v>7</v>
      </c>
      <c r="Q13" s="264"/>
      <c r="R13" s="237"/>
      <c r="S13" s="237"/>
      <c r="T13" s="237"/>
      <c r="U13" s="271"/>
      <c r="V13" s="331"/>
      <c r="W13" s="151">
        <f>'PI - PPG'!BB13</f>
        <v>3</v>
      </c>
      <c r="X13" s="139">
        <f t="shared" si="3"/>
        <v>1</v>
      </c>
      <c r="Y13" s="140">
        <f t="shared" si="4"/>
        <v>1</v>
      </c>
      <c r="Z13" s="147">
        <f t="shared" si="16"/>
        <v>200</v>
      </c>
      <c r="AA13" s="141">
        <f t="shared" si="6"/>
        <v>10</v>
      </c>
      <c r="AB13" s="139">
        <f t="shared" si="17"/>
        <v>600</v>
      </c>
      <c r="AC13" s="140">
        <f t="shared" si="8"/>
        <v>120</v>
      </c>
      <c r="AD13" s="147">
        <f t="shared" si="9"/>
        <v>72</v>
      </c>
      <c r="AE13" s="164">
        <f t="shared" si="10"/>
        <v>35</v>
      </c>
      <c r="AF13" s="141">
        <f t="shared" si="11"/>
        <v>107</v>
      </c>
      <c r="AG13" s="139">
        <f t="shared" si="12"/>
        <v>0</v>
      </c>
      <c r="AH13" s="140">
        <f t="shared" si="13"/>
        <v>0</v>
      </c>
      <c r="AJ13" s="159">
        <f t="shared" si="0"/>
        <v>238</v>
      </c>
      <c r="AM13" s="322" t="e">
        <f t="shared" si="1"/>
        <v>#NAME?</v>
      </c>
      <c r="AN13" s="280"/>
      <c r="AO13" s="322" t="e">
        <f t="shared" si="14"/>
        <v>#NAME?</v>
      </c>
      <c r="AP13" s="280"/>
      <c r="AQ13" s="322" t="e">
        <f t="shared" si="15"/>
        <v>#NAME?</v>
      </c>
      <c r="AR13" s="280"/>
      <c r="AT13" s="160">
        <f t="shared" si="2"/>
        <v>10.962690004606172</v>
      </c>
    </row>
    <row r="14" spans="1:46" ht="32.25" thickBot="1">
      <c r="A14" s="153" t="str">
        <f>IF('PI - PPG'!A14&lt;&gt;"",'PI - PPG'!A14,"")</f>
        <v>EF</v>
      </c>
      <c r="B14" s="25" t="str">
        <f>IF('PI - PPG'!B14&lt;&gt;"",'PI - PPG'!B14,"")</f>
        <v>UFPB/PB</v>
      </c>
      <c r="C14" s="25">
        <f>IF('PI - PPG'!C14&lt;&gt;"",'PI - PPG'!C14,"")</f>
        <v>12</v>
      </c>
      <c r="D14" s="121" t="str">
        <f>IF('PI - PPG'!D14&lt;&gt;"",'PI - PPG'!D14,"")</f>
        <v>MARIA S. BRASILEIRO SANTOS</v>
      </c>
      <c r="E14" s="216"/>
      <c r="F14" s="214"/>
      <c r="G14" s="214"/>
      <c r="H14" s="214"/>
      <c r="I14" s="258"/>
      <c r="J14" s="265"/>
      <c r="K14" s="238"/>
      <c r="L14" s="238"/>
      <c r="M14" s="258">
        <v>15</v>
      </c>
      <c r="N14" s="266">
        <v>1</v>
      </c>
      <c r="O14" s="265"/>
      <c r="P14" s="258"/>
      <c r="Q14" s="265"/>
      <c r="R14" s="238"/>
      <c r="S14" s="238">
        <v>1</v>
      </c>
      <c r="T14" s="238"/>
      <c r="U14" s="272"/>
      <c r="V14" s="331"/>
      <c r="W14" s="151">
        <f>'PI - PPG'!BB14</f>
        <v>3</v>
      </c>
      <c r="X14" s="139">
        <f t="shared" si="3"/>
        <v>0</v>
      </c>
      <c r="Y14" s="140">
        <f t="shared" si="4"/>
        <v>0</v>
      </c>
      <c r="Z14" s="147">
        <f t="shared" si="16"/>
        <v>300</v>
      </c>
      <c r="AA14" s="141">
        <f t="shared" si="6"/>
        <v>10</v>
      </c>
      <c r="AB14" s="139">
        <f t="shared" si="17"/>
        <v>40</v>
      </c>
      <c r="AC14" s="140">
        <f t="shared" si="8"/>
        <v>40</v>
      </c>
      <c r="AD14" s="147">
        <f t="shared" si="9"/>
        <v>0</v>
      </c>
      <c r="AE14" s="164">
        <f t="shared" si="10"/>
        <v>0</v>
      </c>
      <c r="AF14" s="141">
        <f t="shared" si="11"/>
        <v>0</v>
      </c>
      <c r="AG14" s="139">
        <f t="shared" si="12"/>
        <v>1</v>
      </c>
      <c r="AH14" s="140">
        <f t="shared" si="13"/>
        <v>10</v>
      </c>
      <c r="AJ14" s="159">
        <f t="shared" si="0"/>
        <v>60</v>
      </c>
      <c r="AM14" s="322" t="e">
        <f t="shared" si="1"/>
        <v>#NAME?</v>
      </c>
      <c r="AN14" s="280"/>
      <c r="AO14" s="322" t="e">
        <f t="shared" si="14"/>
        <v>#NAME?</v>
      </c>
      <c r="AP14" s="280"/>
      <c r="AQ14" s="322" t="e">
        <f t="shared" si="15"/>
        <v>#NAME?</v>
      </c>
      <c r="AR14" s="280"/>
      <c r="AT14" s="160">
        <f t="shared" si="2"/>
        <v>2.763703362505758</v>
      </c>
    </row>
    <row r="15" spans="1:46" ht="32.25" thickBot="1">
      <c r="A15" s="153" t="str">
        <f>IF('PI - PPG'!A15&lt;&gt;"",'PI - PPG'!A15,"")</f>
        <v>EF</v>
      </c>
      <c r="B15" s="25" t="str">
        <f>IF('PI - PPG'!B15&lt;&gt;"",'PI - PPG'!B15,"")</f>
        <v>UFPB/PB</v>
      </c>
      <c r="C15" s="25">
        <f>IF('PI - PPG'!C15&lt;&gt;"",'PI - PPG'!C15,"")</f>
        <v>13</v>
      </c>
      <c r="D15" s="121" t="str">
        <f>IF('PI - PPG'!D15&lt;&gt;"",'PI - PPG'!D15,"")</f>
        <v>MARIA S. CIRILO DE SOUZA</v>
      </c>
      <c r="E15" s="168"/>
      <c r="F15" s="96"/>
      <c r="G15" s="96"/>
      <c r="H15" s="96"/>
      <c r="I15" s="252"/>
      <c r="J15" s="253">
        <v>7</v>
      </c>
      <c r="K15" s="254"/>
      <c r="L15" s="254">
        <v>1</v>
      </c>
      <c r="M15" s="255"/>
      <c r="N15" s="256"/>
      <c r="O15" s="253"/>
      <c r="P15" s="255"/>
      <c r="Q15" s="264"/>
      <c r="R15" s="237"/>
      <c r="S15" s="237"/>
      <c r="T15" s="237"/>
      <c r="U15" s="271"/>
      <c r="V15" s="331"/>
      <c r="W15" s="151">
        <f>'PI - PPG'!BB15</f>
        <v>3</v>
      </c>
      <c r="X15" s="139">
        <f t="shared" si="3"/>
        <v>0</v>
      </c>
      <c r="Y15" s="140">
        <f t="shared" si="4"/>
        <v>0</v>
      </c>
      <c r="Z15" s="147">
        <f t="shared" si="16"/>
        <v>160</v>
      </c>
      <c r="AA15" s="141">
        <f t="shared" si="6"/>
        <v>10</v>
      </c>
      <c r="AB15" s="139">
        <f t="shared" si="17"/>
        <v>0</v>
      </c>
      <c r="AC15" s="140">
        <f t="shared" si="8"/>
        <v>0</v>
      </c>
      <c r="AD15" s="147">
        <f t="shared" si="9"/>
        <v>0</v>
      </c>
      <c r="AE15" s="164">
        <f t="shared" si="10"/>
        <v>0</v>
      </c>
      <c r="AF15" s="141">
        <f t="shared" si="11"/>
        <v>0</v>
      </c>
      <c r="AG15" s="139">
        <f t="shared" si="12"/>
        <v>0</v>
      </c>
      <c r="AH15" s="140">
        <f t="shared" si="13"/>
        <v>0</v>
      </c>
      <c r="AJ15" s="159">
        <f t="shared" si="0"/>
        <v>10</v>
      </c>
      <c r="AM15" s="322" t="e">
        <f t="shared" si="1"/>
        <v>#NAME?</v>
      </c>
      <c r="AN15" s="280"/>
      <c r="AO15" s="322" t="e">
        <f t="shared" si="14"/>
        <v>#NAME?</v>
      </c>
      <c r="AP15" s="280"/>
      <c r="AQ15" s="322" t="e">
        <f t="shared" si="15"/>
        <v>#NAME?</v>
      </c>
      <c r="AR15" s="280"/>
      <c r="AT15" s="160">
        <f t="shared" si="2"/>
        <v>0.4606172270842929</v>
      </c>
    </row>
    <row r="16" spans="1:46" ht="32.25" thickBot="1">
      <c r="A16" s="153" t="str">
        <f>IF('PI - PPG'!A16&lt;&gt;"",'PI - PPG'!A16,"")</f>
        <v>EF</v>
      </c>
      <c r="B16" s="25" t="str">
        <f>IF('PI - PPG'!B16&lt;&gt;"",'PI - PPG'!B16,"")</f>
        <v>UPE/PE</v>
      </c>
      <c r="C16" s="25">
        <f>IF('PI - PPG'!C16&lt;&gt;"",'PI - PPG'!C16,"")</f>
        <v>14</v>
      </c>
      <c r="D16" s="121" t="str">
        <f>IF('PI - PPG'!D16&lt;&gt;"",'PI - PPG'!D16,"")</f>
        <v>MARIA TERESA CATTUZZO</v>
      </c>
      <c r="E16" s="168"/>
      <c r="F16" s="96"/>
      <c r="G16" s="96"/>
      <c r="H16" s="96"/>
      <c r="I16" s="252">
        <v>1</v>
      </c>
      <c r="J16" s="253"/>
      <c r="K16" s="254"/>
      <c r="L16" s="254"/>
      <c r="M16" s="255"/>
      <c r="N16" s="256">
        <v>10</v>
      </c>
      <c r="O16" s="253">
        <v>13</v>
      </c>
      <c r="P16" s="255"/>
      <c r="Q16" s="264"/>
      <c r="R16" s="237"/>
      <c r="S16" s="237"/>
      <c r="T16" s="237"/>
      <c r="U16" s="271"/>
      <c r="V16" s="331"/>
      <c r="W16" s="151">
        <f>'PI - PPG'!BB16</f>
        <v>3</v>
      </c>
      <c r="X16" s="139">
        <f t="shared" si="3"/>
        <v>1</v>
      </c>
      <c r="Y16" s="140">
        <f t="shared" si="4"/>
        <v>1</v>
      </c>
      <c r="Z16" s="147">
        <f t="shared" si="16"/>
        <v>0</v>
      </c>
      <c r="AA16" s="141">
        <f t="shared" si="6"/>
        <v>0</v>
      </c>
      <c r="AB16" s="139">
        <f t="shared" si="17"/>
        <v>400</v>
      </c>
      <c r="AC16" s="140">
        <f t="shared" si="8"/>
        <v>120</v>
      </c>
      <c r="AD16" s="147">
        <f t="shared" si="9"/>
        <v>104</v>
      </c>
      <c r="AE16" s="164">
        <f t="shared" si="10"/>
        <v>0</v>
      </c>
      <c r="AF16" s="141">
        <f t="shared" si="11"/>
        <v>104</v>
      </c>
      <c r="AG16" s="139">
        <f t="shared" si="12"/>
        <v>0</v>
      </c>
      <c r="AH16" s="140">
        <f t="shared" si="13"/>
        <v>0</v>
      </c>
      <c r="AJ16" s="159">
        <f t="shared" si="0"/>
        <v>225</v>
      </c>
      <c r="AM16" s="322" t="e">
        <f t="shared" si="1"/>
        <v>#NAME?</v>
      </c>
      <c r="AN16" s="280"/>
      <c r="AO16" s="322" t="e">
        <f t="shared" si="14"/>
        <v>#NAME?</v>
      </c>
      <c r="AP16" s="280"/>
      <c r="AQ16" s="322" t="e">
        <f t="shared" si="15"/>
        <v>#NAME?</v>
      </c>
      <c r="AR16" s="280"/>
      <c r="AT16" s="160">
        <f t="shared" si="2"/>
        <v>10.36388760939659</v>
      </c>
    </row>
    <row r="17" spans="1:46" ht="32.25" thickBot="1">
      <c r="A17" s="153" t="str">
        <f>IF('PI - PPG'!A17&lt;&gt;"",'PI - PPG'!A17,"")</f>
        <v>EF</v>
      </c>
      <c r="B17" s="25" t="str">
        <f>IF('PI - PPG'!B17&lt;&gt;"",'PI - PPG'!B17,"")</f>
        <v>UPE/PE</v>
      </c>
      <c r="C17" s="25">
        <f>IF('PI - PPG'!C17&lt;&gt;"",'PI - PPG'!C17,"")</f>
        <v>15</v>
      </c>
      <c r="D17" s="121" t="str">
        <f>IF('PI - PPG'!D17&lt;&gt;"",'PI - PPG'!D17,"")</f>
        <v>MAURO VIRGILIO GOMES DE BARROS</v>
      </c>
      <c r="E17" s="196"/>
      <c r="F17" s="197"/>
      <c r="G17" s="197"/>
      <c r="H17" s="197"/>
      <c r="I17" s="252"/>
      <c r="J17" s="264">
        <v>5</v>
      </c>
      <c r="K17" s="237">
        <v>1</v>
      </c>
      <c r="L17" s="237">
        <v>13</v>
      </c>
      <c r="M17" s="252"/>
      <c r="N17" s="267">
        <v>25</v>
      </c>
      <c r="O17" s="264">
        <v>1</v>
      </c>
      <c r="P17" s="252">
        <v>13</v>
      </c>
      <c r="Q17" s="264"/>
      <c r="R17" s="237"/>
      <c r="S17" s="237"/>
      <c r="T17" s="237"/>
      <c r="U17" s="271"/>
      <c r="V17" s="331"/>
      <c r="W17" s="151">
        <f>'PI - PPG'!BB17</f>
        <v>3</v>
      </c>
      <c r="X17" s="139">
        <f t="shared" si="3"/>
        <v>0</v>
      </c>
      <c r="Y17" s="140">
        <f t="shared" si="4"/>
        <v>0</v>
      </c>
      <c r="Z17" s="147">
        <f t="shared" si="16"/>
        <v>380</v>
      </c>
      <c r="AA17" s="141">
        <f t="shared" si="6"/>
        <v>10</v>
      </c>
      <c r="AB17" s="139">
        <f t="shared" si="17"/>
        <v>1000</v>
      </c>
      <c r="AC17" s="140">
        <f t="shared" si="8"/>
        <v>120</v>
      </c>
      <c r="AD17" s="147">
        <f t="shared" si="9"/>
        <v>8</v>
      </c>
      <c r="AE17" s="164">
        <f t="shared" si="10"/>
        <v>65</v>
      </c>
      <c r="AF17" s="141">
        <f t="shared" si="11"/>
        <v>73</v>
      </c>
      <c r="AG17" s="139">
        <f t="shared" si="12"/>
        <v>0</v>
      </c>
      <c r="AH17" s="140">
        <f t="shared" si="13"/>
        <v>0</v>
      </c>
      <c r="AJ17" s="159">
        <f t="shared" si="0"/>
        <v>203</v>
      </c>
      <c r="AM17" s="322" t="e">
        <f t="shared" si="1"/>
        <v>#NAME?</v>
      </c>
      <c r="AN17" s="280"/>
      <c r="AO17" s="322" t="e">
        <f t="shared" si="14"/>
        <v>#NAME?</v>
      </c>
      <c r="AP17" s="280"/>
      <c r="AQ17" s="322" t="e">
        <f t="shared" si="15"/>
        <v>#NAME?</v>
      </c>
      <c r="AR17" s="280"/>
      <c r="AT17" s="160">
        <f t="shared" si="2"/>
        <v>9.350529709811147</v>
      </c>
    </row>
    <row r="18" spans="1:46" ht="32.25" thickBot="1">
      <c r="A18" s="153" t="str">
        <f>IF('PI - PPG'!A18&lt;&gt;"",'PI - PPG'!A18,"")</f>
        <v>EF</v>
      </c>
      <c r="B18" s="25" t="str">
        <f>IF('PI - PPG'!B18&lt;&gt;"",'PI - PPG'!B18,"")</f>
        <v>UFPB/PB</v>
      </c>
      <c r="C18" s="25">
        <f>IF('PI - PPG'!C18&lt;&gt;"",'PI - PPG'!C18,"")</f>
        <v>16</v>
      </c>
      <c r="D18" s="121" t="str">
        <f>IF('PI - PPG'!D18&lt;&gt;"",'PI - PPG'!D18,"")</f>
        <v>PIERRE N. GOMES DA SILVA</v>
      </c>
      <c r="E18" s="216"/>
      <c r="F18" s="214"/>
      <c r="G18" s="214"/>
      <c r="H18" s="214"/>
      <c r="I18" s="258">
        <v>3</v>
      </c>
      <c r="J18" s="259">
        <v>1</v>
      </c>
      <c r="K18" s="260"/>
      <c r="L18" s="260">
        <v>2</v>
      </c>
      <c r="M18" s="261"/>
      <c r="N18" s="268"/>
      <c r="O18" s="259">
        <v>1</v>
      </c>
      <c r="P18" s="261">
        <v>1</v>
      </c>
      <c r="Q18" s="265"/>
      <c r="R18" s="238"/>
      <c r="S18" s="238"/>
      <c r="T18" s="238"/>
      <c r="U18" s="272"/>
      <c r="V18" s="331"/>
      <c r="W18" s="151">
        <f>'PI - PPG'!BB18</f>
        <v>3</v>
      </c>
      <c r="X18" s="139">
        <f t="shared" si="3"/>
        <v>3</v>
      </c>
      <c r="Y18" s="140">
        <f t="shared" si="4"/>
        <v>3</v>
      </c>
      <c r="Z18" s="147">
        <f t="shared" si="16"/>
        <v>60</v>
      </c>
      <c r="AA18" s="141">
        <f t="shared" si="6"/>
        <v>10</v>
      </c>
      <c r="AB18" s="139">
        <f t="shared" si="17"/>
        <v>0</v>
      </c>
      <c r="AC18" s="140">
        <f t="shared" si="8"/>
        <v>0</v>
      </c>
      <c r="AD18" s="147">
        <f t="shared" si="9"/>
        <v>8</v>
      </c>
      <c r="AE18" s="164">
        <f t="shared" si="10"/>
        <v>5</v>
      </c>
      <c r="AF18" s="141">
        <f t="shared" si="11"/>
        <v>13</v>
      </c>
      <c r="AG18" s="139">
        <f t="shared" si="12"/>
        <v>0</v>
      </c>
      <c r="AH18" s="140">
        <f t="shared" si="13"/>
        <v>0</v>
      </c>
      <c r="AJ18" s="159">
        <f t="shared" si="0"/>
        <v>26</v>
      </c>
      <c r="AM18" s="322" t="e">
        <f t="shared" si="1"/>
        <v>#NAME?</v>
      </c>
      <c r="AN18" s="280"/>
      <c r="AO18" s="322" t="e">
        <f t="shared" si="14"/>
        <v>#NAME?</v>
      </c>
      <c r="AP18" s="280"/>
      <c r="AQ18" s="322" t="e">
        <f t="shared" si="15"/>
        <v>#NAME?</v>
      </c>
      <c r="AR18" s="280"/>
      <c r="AT18" s="160">
        <f t="shared" si="2"/>
        <v>1.1976047904191618</v>
      </c>
    </row>
    <row r="19" spans="1:46" ht="32.25" thickBot="1">
      <c r="A19" s="153" t="str">
        <f>IF('PI - PPG'!A19&lt;&gt;"",'PI - PPG'!A19,"")</f>
        <v>EF</v>
      </c>
      <c r="B19" s="25" t="str">
        <f>IF('PI - PPG'!B19&lt;&gt;"",'PI - PPG'!B19,"")</f>
        <v>UPE/PE</v>
      </c>
      <c r="C19" s="25">
        <f>IF('PI - PPG'!C19&lt;&gt;"",'PI - PPG'!C19,"")</f>
        <v>17</v>
      </c>
      <c r="D19" s="121" t="str">
        <f>IF('PI - PPG'!D19&lt;&gt;"",'PI - PPG'!D19,"")</f>
        <v>RAPHAEL MENDES RITTI DIAS</v>
      </c>
      <c r="E19" s="168"/>
      <c r="F19" s="96"/>
      <c r="G19" s="96"/>
      <c r="H19" s="96"/>
      <c r="I19" s="252"/>
      <c r="J19" s="253">
        <v>1</v>
      </c>
      <c r="K19" s="254">
        <v>1</v>
      </c>
      <c r="L19" s="254">
        <v>6</v>
      </c>
      <c r="M19" s="255"/>
      <c r="N19" s="256">
        <v>10</v>
      </c>
      <c r="O19" s="253">
        <v>1</v>
      </c>
      <c r="P19" s="255"/>
      <c r="Q19" s="264"/>
      <c r="R19" s="237"/>
      <c r="S19" s="237"/>
      <c r="T19" s="237"/>
      <c r="U19" s="271"/>
      <c r="V19" s="331"/>
      <c r="W19" s="151">
        <f>'PI - PPG'!BB19</f>
        <v>3</v>
      </c>
      <c r="X19" s="139">
        <f t="shared" si="3"/>
        <v>0</v>
      </c>
      <c r="Y19" s="140">
        <f t="shared" si="4"/>
        <v>0</v>
      </c>
      <c r="Z19" s="147">
        <f t="shared" si="16"/>
        <v>160</v>
      </c>
      <c r="AA19" s="141">
        <f t="shared" si="6"/>
        <v>10</v>
      </c>
      <c r="AB19" s="139">
        <f t="shared" si="17"/>
        <v>400</v>
      </c>
      <c r="AC19" s="140">
        <f t="shared" si="8"/>
        <v>120</v>
      </c>
      <c r="AD19" s="147">
        <f t="shared" si="9"/>
        <v>8</v>
      </c>
      <c r="AE19" s="164">
        <f t="shared" si="10"/>
        <v>0</v>
      </c>
      <c r="AF19" s="141">
        <f t="shared" si="11"/>
        <v>8</v>
      </c>
      <c r="AG19" s="139">
        <f t="shared" si="12"/>
        <v>0</v>
      </c>
      <c r="AH19" s="140">
        <f t="shared" si="13"/>
        <v>0</v>
      </c>
      <c r="AJ19" s="159">
        <f t="shared" si="0"/>
        <v>138</v>
      </c>
      <c r="AM19" s="322" t="e">
        <f t="shared" si="1"/>
        <v>#NAME?</v>
      </c>
      <c r="AN19" s="280"/>
      <c r="AO19" s="322" t="e">
        <f t="shared" si="14"/>
        <v>#NAME?</v>
      </c>
      <c r="AP19" s="280"/>
      <c r="AQ19" s="322" t="e">
        <f t="shared" si="15"/>
        <v>#NAME?</v>
      </c>
      <c r="AR19" s="280"/>
      <c r="AT19" s="160">
        <f t="shared" si="2"/>
        <v>6.356517733763242</v>
      </c>
    </row>
    <row r="20" spans="1:46" ht="32.25" thickBot="1">
      <c r="A20" s="153" t="str">
        <f>IF('PI - PPG'!A20&lt;&gt;"",'PI - PPG'!A20,"")</f>
        <v>EF</v>
      </c>
      <c r="B20" s="25" t="str">
        <f>IF('PI - PPG'!B20&lt;&gt;"",'PI - PPG'!B20,"")</f>
        <v>UPE/PE</v>
      </c>
      <c r="C20" s="25">
        <f>IF('PI - PPG'!C20&lt;&gt;"",'PI - PPG'!C20,"")</f>
        <v>18</v>
      </c>
      <c r="D20" s="121" t="str">
        <f>IF('PI - PPG'!D20&lt;&gt;"",'PI - PPG'!D20,"")</f>
        <v>RODRIGO CAPPATO DE ARAÚJO</v>
      </c>
      <c r="E20" s="168"/>
      <c r="F20" s="96"/>
      <c r="G20" s="96"/>
      <c r="H20" s="96"/>
      <c r="I20" s="252"/>
      <c r="J20" s="253">
        <v>2</v>
      </c>
      <c r="K20" s="254">
        <v>2</v>
      </c>
      <c r="L20" s="254">
        <v>4</v>
      </c>
      <c r="M20" s="255"/>
      <c r="N20" s="256"/>
      <c r="O20" s="253">
        <v>3</v>
      </c>
      <c r="P20" s="255">
        <v>4</v>
      </c>
      <c r="Q20" s="264"/>
      <c r="R20" s="237"/>
      <c r="S20" s="237"/>
      <c r="T20" s="237"/>
      <c r="U20" s="271"/>
      <c r="V20" s="331"/>
      <c r="W20" s="151">
        <f>'PI - PPG'!BB20</f>
        <v>2</v>
      </c>
      <c r="X20" s="139">
        <f t="shared" si="3"/>
        <v>0</v>
      </c>
      <c r="Y20" s="140">
        <f t="shared" si="4"/>
        <v>0</v>
      </c>
      <c r="Z20" s="147">
        <f t="shared" si="16"/>
        <v>160</v>
      </c>
      <c r="AA20" s="141">
        <f t="shared" si="6"/>
        <v>10</v>
      </c>
      <c r="AB20" s="139">
        <f t="shared" si="17"/>
        <v>0</v>
      </c>
      <c r="AC20" s="140">
        <f t="shared" si="8"/>
        <v>0</v>
      </c>
      <c r="AD20" s="147">
        <f t="shared" si="9"/>
        <v>24</v>
      </c>
      <c r="AE20" s="164">
        <f t="shared" si="10"/>
        <v>20</v>
      </c>
      <c r="AF20" s="141">
        <f t="shared" si="11"/>
        <v>44</v>
      </c>
      <c r="AG20" s="139">
        <f t="shared" si="12"/>
        <v>0</v>
      </c>
      <c r="AH20" s="140">
        <f t="shared" si="13"/>
        <v>0</v>
      </c>
      <c r="AJ20" s="159">
        <f t="shared" si="0"/>
        <v>54</v>
      </c>
      <c r="AM20" s="322" t="e">
        <f t="shared" si="1"/>
        <v>#NAME?</v>
      </c>
      <c r="AN20" s="280"/>
      <c r="AO20" s="322" t="e">
        <f t="shared" si="14"/>
        <v>#NAME?</v>
      </c>
      <c r="AP20" s="280"/>
      <c r="AQ20" s="322" t="e">
        <f t="shared" si="15"/>
        <v>#NAME?</v>
      </c>
      <c r="AR20" s="280"/>
      <c r="AT20" s="160">
        <f t="shared" si="2"/>
        <v>2.487333026255182</v>
      </c>
    </row>
    <row r="21" spans="1:46" ht="32.25" thickBot="1">
      <c r="A21" s="153" t="str">
        <f>IF('PI - PPG'!A21&lt;&gt;"",'PI - PPG'!A21,"")</f>
        <v>EF</v>
      </c>
      <c r="B21" s="25" t="str">
        <f>IF('PI - PPG'!B21&lt;&gt;"",'PI - PPG'!B21,"")</f>
        <v>UPE/PE</v>
      </c>
      <c r="C21" s="25">
        <f>IF('PI - PPG'!C21&lt;&gt;"",'PI - PPG'!C21,"")</f>
        <v>19</v>
      </c>
      <c r="D21" s="121" t="str">
        <f>IF('PI - PPG'!D21&lt;&gt;"",'PI - PPG'!D21,"")</f>
        <v>WAGNER LUIZ DO PRADO</v>
      </c>
      <c r="E21" s="168"/>
      <c r="F21" s="96"/>
      <c r="G21" s="96"/>
      <c r="H21" s="96"/>
      <c r="I21" s="252">
        <v>8</v>
      </c>
      <c r="J21" s="253">
        <v>5</v>
      </c>
      <c r="K21" s="254"/>
      <c r="L21" s="254">
        <v>4</v>
      </c>
      <c r="M21" s="255">
        <v>1</v>
      </c>
      <c r="N21" s="256">
        <v>25</v>
      </c>
      <c r="O21" s="253">
        <v>40</v>
      </c>
      <c r="P21" s="255"/>
      <c r="Q21" s="264"/>
      <c r="R21" s="237"/>
      <c r="S21" s="237"/>
      <c r="T21" s="237"/>
      <c r="U21" s="271"/>
      <c r="V21" s="331"/>
      <c r="W21" s="151">
        <f>'PI - PPG'!BB21</f>
        <v>3</v>
      </c>
      <c r="X21" s="139">
        <f t="shared" si="3"/>
        <v>8</v>
      </c>
      <c r="Y21" s="140">
        <f t="shared" si="4"/>
        <v>8</v>
      </c>
      <c r="Z21" s="147">
        <f t="shared" si="16"/>
        <v>200</v>
      </c>
      <c r="AA21" s="141">
        <f t="shared" si="6"/>
        <v>10</v>
      </c>
      <c r="AB21" s="139">
        <f t="shared" si="17"/>
        <v>1000</v>
      </c>
      <c r="AC21" s="140">
        <f t="shared" si="8"/>
        <v>120</v>
      </c>
      <c r="AD21" s="147">
        <f t="shared" si="9"/>
        <v>320</v>
      </c>
      <c r="AE21" s="164">
        <f t="shared" si="10"/>
        <v>0</v>
      </c>
      <c r="AF21" s="141">
        <f t="shared" si="11"/>
        <v>320</v>
      </c>
      <c r="AG21" s="139">
        <f t="shared" si="12"/>
        <v>0</v>
      </c>
      <c r="AH21" s="140">
        <f t="shared" si="13"/>
        <v>0</v>
      </c>
      <c r="AJ21" s="159">
        <f t="shared" si="0"/>
        <v>458</v>
      </c>
      <c r="AM21" s="322" t="e">
        <f>IF(AJ21="","",(IF($AJ21&gt;$AL$2,"SIM","NÃO")))</f>
        <v>#NAME?</v>
      </c>
      <c r="AN21" s="280"/>
      <c r="AO21" s="322" t="e">
        <f t="shared" si="14"/>
        <v>#NAME?</v>
      </c>
      <c r="AP21" s="280"/>
      <c r="AQ21" s="322" t="e">
        <f t="shared" si="15"/>
        <v>#NAME?</v>
      </c>
      <c r="AR21" s="280"/>
      <c r="AT21" s="160">
        <f t="shared" si="2"/>
        <v>21.09626900046062</v>
      </c>
    </row>
    <row r="22" spans="2:22" ht="16.5" thickBo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34:36" ht="16.5" thickBot="1">
      <c r="AH23" t="s">
        <v>50</v>
      </c>
      <c r="AJ23" s="161">
        <f>SUM(AJ3:AJ21)</f>
        <v>2171</v>
      </c>
    </row>
    <row r="24" spans="5:24" ht="15.75">
      <c r="E24" s="60" t="s">
        <v>163</v>
      </c>
      <c r="X24" s="83" t="s">
        <v>164</v>
      </c>
    </row>
    <row r="25" spans="5:24" ht="16.5" thickBot="1">
      <c r="E25" s="152" t="s">
        <v>120</v>
      </c>
      <c r="X25" s="83" t="s">
        <v>165</v>
      </c>
    </row>
    <row r="26" spans="5:44" ht="15.75">
      <c r="E26" s="152" t="s">
        <v>124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X26" s="89"/>
      <c r="Y26" s="89"/>
      <c r="Z26" s="89"/>
      <c r="AA26" s="89"/>
      <c r="AL26" s="57" t="s">
        <v>161</v>
      </c>
      <c r="AM26" s="327">
        <f>COUNTIF(AM3:AN21,"NÃO")</f>
        <v>0</v>
      </c>
      <c r="AN26" s="327"/>
      <c r="AO26" s="327">
        <f>COUNTIF(AO3:AP21,"NÃO")</f>
        <v>0</v>
      </c>
      <c r="AP26" s="327"/>
      <c r="AQ26" s="327">
        <f>COUNTIF(AQ3:AR21,"NÃO")</f>
        <v>0</v>
      </c>
      <c r="AR26" s="341"/>
    </row>
    <row r="27" spans="5:44" ht="16.5" thickBot="1">
      <c r="E27" s="152" t="s">
        <v>121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X27" s="89"/>
      <c r="Y27" s="89"/>
      <c r="Z27" s="89"/>
      <c r="AA27" s="89"/>
      <c r="AL27" s="64" t="s">
        <v>162</v>
      </c>
      <c r="AM27" s="339">
        <f>100-(AM26/'PI - PPG'!$BB$23*100)</f>
        <v>100</v>
      </c>
      <c r="AN27" s="339"/>
      <c r="AO27" s="339">
        <f>100-(AO26/'PI - PPG'!$BB$23*100)</f>
        <v>100</v>
      </c>
      <c r="AP27" s="339"/>
      <c r="AQ27" s="339">
        <f>100-(AQ26/'PI - PPG'!$BB$23*100)</f>
        <v>100</v>
      </c>
      <c r="AR27" s="340"/>
    </row>
    <row r="28" spans="5:23" ht="15.75">
      <c r="E28" s="152" t="s">
        <v>122</v>
      </c>
      <c r="W28" s="83" t="s">
        <v>169</v>
      </c>
    </row>
    <row r="29" ht="15.75">
      <c r="E29" s="152" t="s">
        <v>123</v>
      </c>
    </row>
    <row r="30" ht="15.75">
      <c r="E30" s="152" t="s">
        <v>125</v>
      </c>
    </row>
    <row r="32" ht="15.75">
      <c r="E32" s="156" t="s">
        <v>178</v>
      </c>
    </row>
    <row r="34" ht="15.75">
      <c r="E34" s="156" t="s">
        <v>183</v>
      </c>
    </row>
    <row r="35" ht="15.75">
      <c r="E35" t="s">
        <v>184</v>
      </c>
    </row>
    <row r="36" ht="15.75">
      <c r="E36" s="156" t="s">
        <v>185</v>
      </c>
    </row>
    <row r="43" ht="15.75">
      <c r="AM43" s="83" t="s">
        <v>166</v>
      </c>
    </row>
    <row r="44" ht="15.75">
      <c r="AM44" s="83" t="s">
        <v>167</v>
      </c>
    </row>
    <row r="46" ht="15.75">
      <c r="AL46" s="83" t="s">
        <v>168</v>
      </c>
    </row>
    <row r="47" ht="15.75">
      <c r="AL47" s="83"/>
    </row>
    <row r="48" ht="15.75">
      <c r="AL48" s="83" t="s">
        <v>170</v>
      </c>
    </row>
    <row r="49" ht="15.75">
      <c r="AL49" s="83"/>
    </row>
  </sheetData>
  <sheetProtection/>
  <mergeCells count="79">
    <mergeCell ref="AQ19:AR19"/>
    <mergeCell ref="AM27:AN27"/>
    <mergeCell ref="AO27:AP27"/>
    <mergeCell ref="AQ27:AR27"/>
    <mergeCell ref="AQ26:AR26"/>
    <mergeCell ref="AO26:AP26"/>
    <mergeCell ref="AO20:AP20"/>
    <mergeCell ref="AO21:AP21"/>
    <mergeCell ref="AQ20:AR20"/>
    <mergeCell ref="AQ21:AR21"/>
    <mergeCell ref="AQ7:AR7"/>
    <mergeCell ref="AQ8:AR8"/>
    <mergeCell ref="AQ11:AR11"/>
    <mergeCell ref="AQ12:AR12"/>
    <mergeCell ref="AQ13:AR13"/>
    <mergeCell ref="AM26:AN26"/>
    <mergeCell ref="AQ15:AR15"/>
    <mergeCell ref="AQ16:AR16"/>
    <mergeCell ref="AQ17:AR17"/>
    <mergeCell ref="AQ18:AR18"/>
    <mergeCell ref="AQ14:AR14"/>
    <mergeCell ref="AO10:AP10"/>
    <mergeCell ref="AO11:AP11"/>
    <mergeCell ref="AO12:AP12"/>
    <mergeCell ref="AM19:AN19"/>
    <mergeCell ref="AQ9:AR9"/>
    <mergeCell ref="AQ10:AR10"/>
    <mergeCell ref="AO16:AP16"/>
    <mergeCell ref="AO17:AP17"/>
    <mergeCell ref="AO18:AP18"/>
    <mergeCell ref="AO13:AP13"/>
    <mergeCell ref="AO14:AP14"/>
    <mergeCell ref="AO15:AP15"/>
    <mergeCell ref="AO19:AP19"/>
    <mergeCell ref="AM18:AN18"/>
    <mergeCell ref="AQ1:AR1"/>
    <mergeCell ref="AQ2:AR2"/>
    <mergeCell ref="AO2:AP2"/>
    <mergeCell ref="AM3:AN3"/>
    <mergeCell ref="AO3:AP3"/>
    <mergeCell ref="AQ3:AR3"/>
    <mergeCell ref="AQ4:AR4"/>
    <mergeCell ref="AQ5:AR5"/>
    <mergeCell ref="AM8:AN8"/>
    <mergeCell ref="AM9:AN9"/>
    <mergeCell ref="AO4:AP4"/>
    <mergeCell ref="AO5:AP5"/>
    <mergeCell ref="AO6:AP6"/>
    <mergeCell ref="AO7:AP7"/>
    <mergeCell ref="AQ6:AR6"/>
    <mergeCell ref="AO8:AP8"/>
    <mergeCell ref="AO9:AP9"/>
    <mergeCell ref="X1:Y1"/>
    <mergeCell ref="Z1:AA1"/>
    <mergeCell ref="AB1:AC1"/>
    <mergeCell ref="AD1:AF1"/>
    <mergeCell ref="AG1:AH1"/>
    <mergeCell ref="AM4:AN4"/>
    <mergeCell ref="AO1:AP1"/>
    <mergeCell ref="E1:I1"/>
    <mergeCell ref="J1:M1"/>
    <mergeCell ref="O1:P1"/>
    <mergeCell ref="Q1:U1"/>
    <mergeCell ref="V1:V21"/>
    <mergeCell ref="AM2:AN2"/>
    <mergeCell ref="AM1:AN1"/>
    <mergeCell ref="AM5:AN5"/>
    <mergeCell ref="AM6:AN6"/>
    <mergeCell ref="AM7:AN7"/>
    <mergeCell ref="AM10:AN10"/>
    <mergeCell ref="AM11:AN11"/>
    <mergeCell ref="AM12:AN12"/>
    <mergeCell ref="AM20:AN20"/>
    <mergeCell ref="AM21:AN21"/>
    <mergeCell ref="AM13:AN13"/>
    <mergeCell ref="AM14:AN14"/>
    <mergeCell ref="AM15:AN15"/>
    <mergeCell ref="AM16:AN16"/>
    <mergeCell ref="AM17:AN17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zoomScale="150" zoomScaleNormal="150" zoomScalePageLayoutView="150" workbookViewId="0" topLeftCell="A1">
      <selection activeCell="M5" sqref="M5"/>
    </sheetView>
  </sheetViews>
  <sheetFormatPr defaultColWidth="11.00390625" defaultRowHeight="15.75"/>
  <cols>
    <col min="1" max="1" width="6.125" style="0" customWidth="1"/>
    <col min="2" max="2" width="11.50390625" style="0" customWidth="1"/>
    <col min="3" max="3" width="12.625" style="0" customWidth="1"/>
    <col min="4" max="6" width="11.00390625" style="0" customWidth="1"/>
    <col min="7" max="7" width="15.375" style="0" bestFit="1" customWidth="1"/>
    <col min="8" max="8" width="10.625" style="0" bestFit="1" customWidth="1"/>
    <col min="9" max="9" width="7.50390625" style="0" bestFit="1" customWidth="1"/>
    <col min="10" max="10" width="12.50390625" style="0" customWidth="1"/>
    <col min="11" max="11" width="12.125" style="0" customWidth="1"/>
  </cols>
  <sheetData>
    <row r="1" spans="3:14" ht="15.75">
      <c r="C1" s="342" t="s">
        <v>99</v>
      </c>
      <c r="D1" s="342"/>
      <c r="E1" s="342"/>
      <c r="F1" s="342"/>
      <c r="G1" s="342"/>
      <c r="H1" s="342"/>
      <c r="I1" s="342"/>
      <c r="J1" s="343" t="s">
        <v>106</v>
      </c>
      <c r="K1" s="343"/>
      <c r="L1" s="343"/>
      <c r="M1" s="343" t="s">
        <v>211</v>
      </c>
      <c r="N1" s="343"/>
    </row>
    <row r="2" spans="3:12" ht="15.75">
      <c r="C2" s="313"/>
      <c r="D2" s="309"/>
      <c r="E2" s="309"/>
      <c r="F2" s="309"/>
      <c r="G2" s="309"/>
      <c r="H2" s="309"/>
      <c r="I2" s="310"/>
      <c r="J2" s="313" t="s">
        <v>210</v>
      </c>
      <c r="K2" s="309"/>
      <c r="L2" s="310"/>
    </row>
    <row r="3" spans="1:14" ht="15.75">
      <c r="A3" t="s">
        <v>196</v>
      </c>
      <c r="B3" t="s">
        <v>193</v>
      </c>
      <c r="C3" s="39" t="s">
        <v>100</v>
      </c>
      <c r="D3" s="86" t="s">
        <v>101</v>
      </c>
      <c r="E3" s="86" t="s">
        <v>102</v>
      </c>
      <c r="F3" s="86" t="s">
        <v>103</v>
      </c>
      <c r="G3" s="86" t="s">
        <v>104</v>
      </c>
      <c r="H3" s="86" t="s">
        <v>209</v>
      </c>
      <c r="I3" s="87" t="s">
        <v>105</v>
      </c>
      <c r="J3" s="172" t="s">
        <v>107</v>
      </c>
      <c r="K3" s="172" t="s">
        <v>108</v>
      </c>
      <c r="L3" s="172" t="s">
        <v>109</v>
      </c>
      <c r="M3" s="173" t="s">
        <v>213</v>
      </c>
      <c r="N3" s="173" t="s">
        <v>212</v>
      </c>
    </row>
    <row r="4" spans="1:14" ht="15.75">
      <c r="A4" t="str">
        <f>'PI - PPG'!A3</f>
        <v>EF</v>
      </c>
      <c r="B4" t="str">
        <f>'PI - PPG'!B3</f>
        <v>UFPB/PB</v>
      </c>
      <c r="C4" s="28" t="s">
        <v>269</v>
      </c>
      <c r="D4" s="28" t="s">
        <v>269</v>
      </c>
      <c r="E4" s="28" t="s">
        <v>269</v>
      </c>
      <c r="F4" s="28" t="s">
        <v>270</v>
      </c>
      <c r="G4" s="28" t="s">
        <v>269</v>
      </c>
      <c r="H4" s="28" t="s">
        <v>269</v>
      </c>
      <c r="I4" s="28" t="s">
        <v>269</v>
      </c>
      <c r="J4" s="47"/>
      <c r="K4" s="47"/>
      <c r="L4" s="47" t="s">
        <v>269</v>
      </c>
      <c r="M4" s="47">
        <v>1</v>
      </c>
      <c r="N4" s="47">
        <v>24</v>
      </c>
    </row>
  </sheetData>
  <sheetProtection/>
  <mergeCells count="5">
    <mergeCell ref="C1:I1"/>
    <mergeCell ref="C2:I2"/>
    <mergeCell ref="J1:L1"/>
    <mergeCell ref="J2:L2"/>
    <mergeCell ref="M1:N1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150" workbookViewId="0" topLeftCell="A1">
      <selection activeCell="G21" sqref="G21"/>
    </sheetView>
  </sheetViews>
  <sheetFormatPr defaultColWidth="11.00390625" defaultRowHeight="15.75"/>
  <cols>
    <col min="1" max="2" width="8.50390625" style="0" customWidth="1"/>
    <col min="3" max="3" width="3.625" style="0" customWidth="1"/>
    <col min="4" max="4" width="12.00390625" style="0" customWidth="1"/>
    <col min="5" max="5" width="63.625" style="0" customWidth="1"/>
    <col min="6" max="6" width="16.00390625" style="0" customWidth="1"/>
    <col min="7" max="8" width="9.125" style="0" customWidth="1"/>
    <col min="9" max="9" width="14.00390625" style="0" customWidth="1"/>
    <col min="10" max="10" width="15.375" style="0" customWidth="1"/>
  </cols>
  <sheetData>
    <row r="1" ht="15.75">
      <c r="C1" t="s">
        <v>207</v>
      </c>
    </row>
    <row r="2" ht="15.75">
      <c r="C2" t="s">
        <v>208</v>
      </c>
    </row>
    <row r="4" spans="1:10" ht="15.75">
      <c r="A4" t="s">
        <v>194</v>
      </c>
      <c r="B4" t="s">
        <v>193</v>
      </c>
      <c r="C4" t="s">
        <v>195</v>
      </c>
      <c r="D4" s="79" t="s">
        <v>94</v>
      </c>
      <c r="E4" s="79" t="s">
        <v>95</v>
      </c>
      <c r="F4" s="79" t="s">
        <v>41</v>
      </c>
      <c r="G4" s="79" t="s">
        <v>97</v>
      </c>
      <c r="H4" s="79" t="s">
        <v>206</v>
      </c>
      <c r="I4" s="79" t="s">
        <v>98</v>
      </c>
      <c r="J4" s="79" t="s">
        <v>96</v>
      </c>
    </row>
    <row r="5" spans="1:10" ht="15.75">
      <c r="A5" t="str">
        <f>'PI - PPG'!A3</f>
        <v>EF</v>
      </c>
      <c r="B5" t="str">
        <f>'PI - PPG'!B3</f>
        <v>UFPB/PB</v>
      </c>
      <c r="C5">
        <v>1</v>
      </c>
      <c r="D5" s="194" t="s">
        <v>237</v>
      </c>
      <c r="E5" s="194" t="s">
        <v>238</v>
      </c>
      <c r="F5" s="195">
        <v>1</v>
      </c>
      <c r="G5" s="195"/>
      <c r="H5" s="195"/>
      <c r="I5" s="195" t="s">
        <v>239</v>
      </c>
      <c r="J5" s="195" t="s">
        <v>7</v>
      </c>
    </row>
    <row r="6" spans="1:10" ht="15.75">
      <c r="A6" t="str">
        <f>'PI - PPG'!A4</f>
        <v>EF</v>
      </c>
      <c r="B6" t="str">
        <f>'PI - PPG'!B4</f>
        <v>UFPB/PB</v>
      </c>
      <c r="C6">
        <v>2</v>
      </c>
      <c r="D6" s="96" t="s">
        <v>256</v>
      </c>
      <c r="E6" s="96" t="s">
        <v>255</v>
      </c>
      <c r="F6" s="197">
        <v>1</v>
      </c>
      <c r="G6" s="195">
        <v>0.729</v>
      </c>
      <c r="H6" s="195"/>
      <c r="I6" s="195" t="s">
        <v>239</v>
      </c>
      <c r="J6" s="195" t="s">
        <v>6</v>
      </c>
    </row>
    <row r="7" spans="1:10" ht="15.75">
      <c r="A7" t="str">
        <f>'PI - PPG'!A5</f>
        <v>EF</v>
      </c>
      <c r="B7" t="str">
        <f>'PI - PPG'!B5</f>
        <v>UFPB/PB</v>
      </c>
      <c r="C7">
        <v>3</v>
      </c>
      <c r="D7" s="96" t="s">
        <v>263</v>
      </c>
      <c r="E7" s="96" t="s">
        <v>262</v>
      </c>
      <c r="F7" s="197">
        <v>1</v>
      </c>
      <c r="G7" s="195"/>
      <c r="H7" s="195"/>
      <c r="I7" s="195" t="s">
        <v>394</v>
      </c>
      <c r="J7" s="195" t="s">
        <v>9</v>
      </c>
    </row>
    <row r="8" spans="1:10" ht="15.75">
      <c r="A8" t="str">
        <f>'PI - PPG'!A6</f>
        <v>EF</v>
      </c>
      <c r="B8" t="str">
        <f>'PI - PPG'!B6</f>
        <v>UPE/PE</v>
      </c>
      <c r="C8">
        <v>4</v>
      </c>
      <c r="D8" s="96" t="s">
        <v>265</v>
      </c>
      <c r="E8" s="96" t="s">
        <v>266</v>
      </c>
      <c r="F8" s="197">
        <v>1</v>
      </c>
      <c r="G8" s="195">
        <v>1.5</v>
      </c>
      <c r="H8" s="195"/>
      <c r="I8" s="195" t="s">
        <v>239</v>
      </c>
      <c r="J8" s="195" t="s">
        <v>6</v>
      </c>
    </row>
    <row r="9" spans="1:10" ht="15.75">
      <c r="A9" t="str">
        <f>'PI - PPG'!A7</f>
        <v>EF</v>
      </c>
      <c r="B9" t="str">
        <f>'PI - PPG'!B7</f>
        <v>UFPB/PB</v>
      </c>
      <c r="C9">
        <v>5</v>
      </c>
      <c r="D9" s="96" t="s">
        <v>267</v>
      </c>
      <c r="E9" s="96" t="s">
        <v>268</v>
      </c>
      <c r="F9" s="197">
        <v>2</v>
      </c>
      <c r="G9" s="195"/>
      <c r="H9" s="195"/>
      <c r="I9" s="195" t="s">
        <v>239</v>
      </c>
      <c r="J9" s="195" t="s">
        <v>7</v>
      </c>
    </row>
    <row r="10" spans="1:10" ht="15.75">
      <c r="A10" t="str">
        <f>'PI - PPG'!A8</f>
        <v>EF</v>
      </c>
      <c r="B10" t="str">
        <f>'PI - PPG'!B8</f>
        <v>UPE/PE</v>
      </c>
      <c r="C10">
        <v>6</v>
      </c>
      <c r="D10" s="96" t="s">
        <v>277</v>
      </c>
      <c r="E10" s="96" t="s">
        <v>276</v>
      </c>
      <c r="F10" s="197">
        <v>1</v>
      </c>
      <c r="G10" s="195">
        <v>1.04</v>
      </c>
      <c r="H10" s="195"/>
      <c r="I10" s="195" t="s">
        <v>239</v>
      </c>
      <c r="J10" s="195" t="s">
        <v>6</v>
      </c>
    </row>
    <row r="11" spans="1:10" ht="15.75">
      <c r="A11" t="str">
        <f>'PI - PPG'!A9</f>
        <v>EF</v>
      </c>
      <c r="B11" t="str">
        <f>'PI - PPG'!B9</f>
        <v>UFPB/PB</v>
      </c>
      <c r="C11">
        <v>7</v>
      </c>
      <c r="D11" s="96" t="s">
        <v>283</v>
      </c>
      <c r="E11" s="96" t="s">
        <v>282</v>
      </c>
      <c r="F11" s="197">
        <v>1</v>
      </c>
      <c r="G11" s="195"/>
      <c r="H11" s="195"/>
      <c r="I11" s="195" t="s">
        <v>284</v>
      </c>
      <c r="J11" s="195" t="s">
        <v>9</v>
      </c>
    </row>
    <row r="12" spans="1:10" ht="15.75">
      <c r="A12" t="str">
        <f>'PI - PPG'!A10</f>
        <v>EF</v>
      </c>
      <c r="B12" t="str">
        <f>'PI - PPG'!B10</f>
        <v>UFPB/PB</v>
      </c>
      <c r="C12">
        <v>8</v>
      </c>
      <c r="D12" s="96" t="s">
        <v>306</v>
      </c>
      <c r="E12" s="96" t="s">
        <v>305</v>
      </c>
      <c r="F12" s="197">
        <v>1</v>
      </c>
      <c r="G12" s="195"/>
      <c r="H12" s="195"/>
      <c r="I12" s="195" t="s">
        <v>239</v>
      </c>
      <c r="J12" s="195" t="s">
        <v>7</v>
      </c>
    </row>
    <row r="13" spans="1:10" ht="15.75">
      <c r="A13" t="str">
        <f>'PI - PPG'!A11</f>
        <v>EF</v>
      </c>
      <c r="B13" t="str">
        <f>'PI - PPG'!B11</f>
        <v>UPE/PE</v>
      </c>
      <c r="C13">
        <v>9</v>
      </c>
      <c r="D13" s="198" t="s">
        <v>308</v>
      </c>
      <c r="E13" s="96" t="s">
        <v>307</v>
      </c>
      <c r="F13" s="197">
        <v>1</v>
      </c>
      <c r="G13" s="195"/>
      <c r="H13" s="195"/>
      <c r="I13" s="195" t="s">
        <v>239</v>
      </c>
      <c r="J13" s="195" t="s">
        <v>6</v>
      </c>
    </row>
    <row r="14" spans="1:10" ht="15.75">
      <c r="A14" t="str">
        <f>'PI - PPG'!A12</f>
        <v>EF</v>
      </c>
      <c r="B14" t="str">
        <f>'PI - PPG'!B12</f>
        <v>UPE/PE</v>
      </c>
      <c r="C14">
        <v>10</v>
      </c>
      <c r="D14" s="220" t="s">
        <v>310</v>
      </c>
      <c r="E14" s="220" t="s">
        <v>311</v>
      </c>
      <c r="F14" s="221">
        <v>3</v>
      </c>
      <c r="G14" s="220"/>
      <c r="H14" s="220"/>
      <c r="I14" s="221" t="s">
        <v>264</v>
      </c>
      <c r="J14" s="221" t="s">
        <v>10</v>
      </c>
    </row>
    <row r="15" spans="1:10" ht="15.75">
      <c r="A15" t="str">
        <f>'PI - PPG'!A13</f>
        <v>EF</v>
      </c>
      <c r="B15" t="str">
        <f>'PI - PPG'!B13</f>
        <v>UPE/PE</v>
      </c>
      <c r="C15">
        <v>11</v>
      </c>
      <c r="D15" s="220" t="s">
        <v>312</v>
      </c>
      <c r="E15" s="220" t="s">
        <v>313</v>
      </c>
      <c r="F15" s="221">
        <v>1</v>
      </c>
      <c r="G15" s="220"/>
      <c r="H15" s="220"/>
      <c r="I15" s="221" t="s">
        <v>264</v>
      </c>
      <c r="J15" s="221" t="s">
        <v>10</v>
      </c>
    </row>
    <row r="16" spans="1:10" ht="15.75">
      <c r="A16" t="str">
        <f>'PI - PPG'!A14</f>
        <v>EF</v>
      </c>
      <c r="B16" t="str">
        <f>'PI - PPG'!B14</f>
        <v>UFPB/PB</v>
      </c>
      <c r="C16">
        <v>12</v>
      </c>
      <c r="D16" s="220" t="s">
        <v>314</v>
      </c>
      <c r="E16" s="220" t="s">
        <v>315</v>
      </c>
      <c r="F16" s="221">
        <v>1</v>
      </c>
      <c r="G16" s="220"/>
      <c r="H16" s="220"/>
      <c r="I16" s="221" t="s">
        <v>264</v>
      </c>
      <c r="J16" s="221" t="s">
        <v>10</v>
      </c>
    </row>
    <row r="17" spans="1:10" ht="15.75">
      <c r="A17" t="str">
        <f>'PI - PPG'!A15</f>
        <v>EF</v>
      </c>
      <c r="B17" t="str">
        <f>'PI - PPG'!B15</f>
        <v>UFPB/PB</v>
      </c>
      <c r="C17">
        <v>13</v>
      </c>
      <c r="D17" s="220" t="s">
        <v>316</v>
      </c>
      <c r="E17" s="220" t="s">
        <v>317</v>
      </c>
      <c r="F17" s="221">
        <v>1</v>
      </c>
      <c r="G17" s="220"/>
      <c r="H17" s="220">
        <v>0.03</v>
      </c>
      <c r="I17" s="221" t="s">
        <v>318</v>
      </c>
      <c r="J17" s="221" t="s">
        <v>6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="90" zoomScaleNormal="90" zoomScalePageLayoutView="0" workbookViewId="0" topLeftCell="A1">
      <selection activeCell="L10" sqref="L10"/>
    </sheetView>
  </sheetViews>
  <sheetFormatPr defaultColWidth="11.00390625" defaultRowHeight="15.75"/>
  <cols>
    <col min="1" max="2" width="5.625" style="0" customWidth="1"/>
    <col min="3" max="4" width="11.00390625" style="0" customWidth="1"/>
    <col min="5" max="5" width="49.375" style="0" customWidth="1"/>
    <col min="6" max="6" width="19.625" style="0" customWidth="1"/>
    <col min="7" max="7" width="36.00390625" style="0" customWidth="1"/>
    <col min="8" max="8" width="62.125" style="0" customWidth="1"/>
    <col min="9" max="10" width="24.125" style="0" customWidth="1"/>
    <col min="11" max="11" width="18.875" style="0" customWidth="1"/>
    <col min="12" max="12" width="15.00390625" style="0" customWidth="1"/>
  </cols>
  <sheetData>
    <row r="1" ht="15.75">
      <c r="A1" t="s">
        <v>190</v>
      </c>
    </row>
    <row r="4" spans="2:12" ht="15.75">
      <c r="B4" s="82" t="s">
        <v>196</v>
      </c>
      <c r="C4" s="82" t="s">
        <v>192</v>
      </c>
      <c r="D4" s="82" t="s">
        <v>199</v>
      </c>
      <c r="E4" s="82" t="s">
        <v>2</v>
      </c>
      <c r="F4" s="169" t="s">
        <v>94</v>
      </c>
      <c r="G4" s="169" t="s">
        <v>95</v>
      </c>
      <c r="H4" s="169" t="s">
        <v>191</v>
      </c>
      <c r="I4" s="169" t="s">
        <v>97</v>
      </c>
      <c r="J4" s="169" t="s">
        <v>206</v>
      </c>
      <c r="K4" s="169" t="s">
        <v>98</v>
      </c>
      <c r="L4" s="169" t="s">
        <v>96</v>
      </c>
    </row>
    <row r="5" spans="1:12" ht="15.75">
      <c r="A5">
        <v>1</v>
      </c>
      <c r="B5" t="str">
        <f>'PI - PPG'!A14</f>
        <v>EF</v>
      </c>
      <c r="C5" t="str">
        <f>'PI - PPG'!B14</f>
        <v>UFPB/PB</v>
      </c>
      <c r="D5" s="96">
        <v>2010</v>
      </c>
      <c r="E5" s="96" t="s">
        <v>330</v>
      </c>
      <c r="F5" s="197" t="s">
        <v>331</v>
      </c>
      <c r="G5" s="96" t="s">
        <v>332</v>
      </c>
      <c r="H5" s="96" t="s">
        <v>333</v>
      </c>
      <c r="I5" s="197" t="s">
        <v>334</v>
      </c>
      <c r="J5" s="197">
        <v>0.037</v>
      </c>
      <c r="K5" s="197" t="s">
        <v>335</v>
      </c>
      <c r="L5" s="197" t="s">
        <v>6</v>
      </c>
    </row>
    <row r="6" spans="1:12" ht="15.75">
      <c r="A6">
        <v>2</v>
      </c>
      <c r="B6" t="str">
        <f>'PI - PPG'!A15</f>
        <v>EF</v>
      </c>
      <c r="C6" t="str">
        <f>'PI - PPG'!B15</f>
        <v>UFPB/PB</v>
      </c>
      <c r="D6" s="96">
        <v>2010</v>
      </c>
      <c r="E6" s="96" t="s">
        <v>330</v>
      </c>
      <c r="F6" s="197" t="s">
        <v>336</v>
      </c>
      <c r="G6" s="96" t="s">
        <v>332</v>
      </c>
      <c r="H6" s="96" t="s">
        <v>337</v>
      </c>
      <c r="I6" s="197" t="s">
        <v>338</v>
      </c>
      <c r="J6" s="197">
        <v>0.037</v>
      </c>
      <c r="K6" s="197" t="s">
        <v>335</v>
      </c>
      <c r="L6" s="197" t="s">
        <v>7</v>
      </c>
    </row>
    <row r="7" spans="1:12" ht="15.75">
      <c r="A7">
        <v>3</v>
      </c>
      <c r="B7" t="str">
        <f>'PI - PPG'!A4</f>
        <v>EF</v>
      </c>
      <c r="C7" t="str">
        <f>'PI - PPG'!B4</f>
        <v>UFPB/PB</v>
      </c>
      <c r="D7" s="96">
        <v>2011</v>
      </c>
      <c r="E7" s="96" t="s">
        <v>271</v>
      </c>
      <c r="F7" s="197" t="s">
        <v>340</v>
      </c>
      <c r="G7" s="96" t="s">
        <v>274</v>
      </c>
      <c r="H7" s="96" t="s">
        <v>275</v>
      </c>
      <c r="I7" s="197">
        <v>0.88</v>
      </c>
      <c r="J7" s="197"/>
      <c r="K7" s="197" t="s">
        <v>239</v>
      </c>
      <c r="L7" s="197" t="s">
        <v>6</v>
      </c>
    </row>
    <row r="8" spans="1:12" ht="15.75">
      <c r="A8">
        <v>4</v>
      </c>
      <c r="B8" t="str">
        <f>'PI - PPG'!A11</f>
        <v>EF</v>
      </c>
      <c r="C8" t="str">
        <f>'PI - PPG'!B11</f>
        <v>UPE/PE</v>
      </c>
      <c r="D8" s="96">
        <v>2011</v>
      </c>
      <c r="E8" s="96" t="s">
        <v>319</v>
      </c>
      <c r="F8" s="197" t="s">
        <v>322</v>
      </c>
      <c r="G8" s="96" t="s">
        <v>323</v>
      </c>
      <c r="H8" s="96" t="s">
        <v>324</v>
      </c>
      <c r="I8" s="197"/>
      <c r="J8" s="197"/>
      <c r="K8" s="197" t="s">
        <v>264</v>
      </c>
      <c r="L8" s="197" t="s">
        <v>10</v>
      </c>
    </row>
    <row r="9" spans="1:12" ht="15.75">
      <c r="A9">
        <v>5</v>
      </c>
      <c r="B9" t="str">
        <f>'PI - PPG'!A12</f>
        <v>EF</v>
      </c>
      <c r="C9" t="str">
        <f>'PI - PPG'!B12</f>
        <v>UPE/PE</v>
      </c>
      <c r="D9" s="96">
        <v>2011</v>
      </c>
      <c r="E9" s="96" t="s">
        <v>319</v>
      </c>
      <c r="F9" s="197" t="s">
        <v>322</v>
      </c>
      <c r="G9" s="96" t="s">
        <v>323</v>
      </c>
      <c r="H9" s="96" t="s">
        <v>325</v>
      </c>
      <c r="I9" s="197"/>
      <c r="J9" s="197"/>
      <c r="K9" s="197" t="s">
        <v>264</v>
      </c>
      <c r="L9" s="197" t="s">
        <v>10</v>
      </c>
    </row>
    <row r="10" spans="1:12" ht="15.75">
      <c r="A10">
        <v>6</v>
      </c>
      <c r="B10" t="str">
        <f>'PI - PPG'!A13</f>
        <v>EF</v>
      </c>
      <c r="C10" t="str">
        <f>'PI - PPG'!B13</f>
        <v>UPE/PE</v>
      </c>
      <c r="D10" s="96">
        <v>2011</v>
      </c>
      <c r="E10" s="96" t="s">
        <v>326</v>
      </c>
      <c r="F10" s="197" t="s">
        <v>327</v>
      </c>
      <c r="G10" s="96" t="s">
        <v>328</v>
      </c>
      <c r="H10" s="96" t="s">
        <v>329</v>
      </c>
      <c r="I10" s="197"/>
      <c r="J10" s="197"/>
      <c r="K10" s="197" t="s">
        <v>395</v>
      </c>
      <c r="L10" s="197" t="s">
        <v>8</v>
      </c>
    </row>
    <row r="11" spans="1:12" ht="15.75">
      <c r="A11">
        <v>7</v>
      </c>
      <c r="B11" t="str">
        <f>'PI - PPG'!A16</f>
        <v>EF</v>
      </c>
      <c r="C11" t="str">
        <f>'PI - PPG'!B16</f>
        <v>UPE/PE</v>
      </c>
      <c r="D11" s="96">
        <v>2011</v>
      </c>
      <c r="E11" s="96" t="s">
        <v>339</v>
      </c>
      <c r="F11" s="197" t="s">
        <v>340</v>
      </c>
      <c r="G11" s="96" t="s">
        <v>274</v>
      </c>
      <c r="H11" s="96" t="s">
        <v>341</v>
      </c>
      <c r="I11" s="197">
        <v>1.3</v>
      </c>
      <c r="J11" s="197">
        <v>0.046</v>
      </c>
      <c r="K11" s="197" t="s">
        <v>335</v>
      </c>
      <c r="L11" s="197" t="s">
        <v>8</v>
      </c>
    </row>
    <row r="12" spans="1:12" ht="15.75">
      <c r="A12">
        <v>8</v>
      </c>
      <c r="B12" t="str">
        <f>'PI - PPG'!A3</f>
        <v>EF</v>
      </c>
      <c r="C12" t="str">
        <f>'PI - PPG'!B3</f>
        <v>UFPB/PB</v>
      </c>
      <c r="D12" s="214">
        <v>2012</v>
      </c>
      <c r="E12" s="214" t="s">
        <v>271</v>
      </c>
      <c r="F12" s="217" t="s">
        <v>267</v>
      </c>
      <c r="G12" s="214" t="s">
        <v>272</v>
      </c>
      <c r="H12" s="214" t="s">
        <v>273</v>
      </c>
      <c r="I12" s="217"/>
      <c r="J12" s="217"/>
      <c r="K12" s="217" t="s">
        <v>239</v>
      </c>
      <c r="L12" s="217" t="s">
        <v>7</v>
      </c>
    </row>
    <row r="13" spans="1:12" ht="15.75">
      <c r="A13">
        <v>9</v>
      </c>
      <c r="B13" t="str">
        <f>'PI - PPG'!A5</f>
        <v>EF</v>
      </c>
      <c r="C13" t="str">
        <f>'PI - PPG'!B5</f>
        <v>UFPB/PB</v>
      </c>
      <c r="D13" s="214">
        <v>2012</v>
      </c>
      <c r="E13" s="214" t="s">
        <v>286</v>
      </c>
      <c r="F13" s="217" t="s">
        <v>287</v>
      </c>
      <c r="G13" s="214" t="s">
        <v>285</v>
      </c>
      <c r="H13" s="214" t="s">
        <v>288</v>
      </c>
      <c r="I13" s="217"/>
      <c r="J13" s="217"/>
      <c r="K13" s="217" t="s">
        <v>401</v>
      </c>
      <c r="L13" s="217" t="s">
        <v>7</v>
      </c>
    </row>
    <row r="14" spans="1:12" ht="15.75">
      <c r="A14">
        <v>10</v>
      </c>
      <c r="B14" t="str">
        <f>'PI - PPG'!A6</f>
        <v>EF</v>
      </c>
      <c r="C14" t="str">
        <f>'PI - PPG'!B6</f>
        <v>UPE/PE</v>
      </c>
      <c r="D14" s="214">
        <v>2012</v>
      </c>
      <c r="E14" s="214" t="s">
        <v>286</v>
      </c>
      <c r="F14" s="217" t="s">
        <v>283</v>
      </c>
      <c r="G14" s="214" t="s">
        <v>396</v>
      </c>
      <c r="H14" s="214" t="s">
        <v>289</v>
      </c>
      <c r="I14" s="217"/>
      <c r="J14" s="217"/>
      <c r="K14" s="217" t="s">
        <v>284</v>
      </c>
      <c r="L14" s="217" t="s">
        <v>9</v>
      </c>
    </row>
    <row r="15" spans="1:12" ht="15.75">
      <c r="A15">
        <v>11</v>
      </c>
      <c r="B15" t="str">
        <f>'PI - PPG'!A7</f>
        <v>EF</v>
      </c>
      <c r="C15" t="str">
        <f>'PI - PPG'!B7</f>
        <v>UFPB/PB</v>
      </c>
      <c r="D15" s="214">
        <v>2012</v>
      </c>
      <c r="E15" s="214" t="s">
        <v>286</v>
      </c>
      <c r="F15" s="217" t="s">
        <v>398</v>
      </c>
      <c r="G15" s="222" t="s">
        <v>290</v>
      </c>
      <c r="H15" s="214" t="s">
        <v>291</v>
      </c>
      <c r="I15" s="217"/>
      <c r="J15" s="217"/>
      <c r="K15" s="217" t="s">
        <v>395</v>
      </c>
      <c r="L15" s="217" t="s">
        <v>8</v>
      </c>
    </row>
    <row r="16" spans="1:12" ht="15.75">
      <c r="A16">
        <v>12</v>
      </c>
      <c r="B16" t="str">
        <f>'PI - PPG'!A8</f>
        <v>EF</v>
      </c>
      <c r="C16" t="str">
        <f>'PI - PPG'!B8</f>
        <v>UPE/PE</v>
      </c>
      <c r="D16" s="214">
        <v>2012</v>
      </c>
      <c r="E16" s="214" t="s">
        <v>286</v>
      </c>
      <c r="F16" s="217" t="s">
        <v>399</v>
      </c>
      <c r="G16" s="214" t="s">
        <v>397</v>
      </c>
      <c r="H16" s="214" t="s">
        <v>292</v>
      </c>
      <c r="I16" s="217"/>
      <c r="J16" s="217"/>
      <c r="K16" s="217" t="s">
        <v>284</v>
      </c>
      <c r="L16" s="217" t="s">
        <v>9</v>
      </c>
    </row>
    <row r="17" spans="1:12" ht="15.75">
      <c r="A17">
        <v>13</v>
      </c>
      <c r="B17" t="str">
        <f>'PI - PPG'!A9</f>
        <v>EF</v>
      </c>
      <c r="C17" t="str">
        <f>'PI - PPG'!B9</f>
        <v>UFPB/PB</v>
      </c>
      <c r="D17" s="214">
        <v>2012</v>
      </c>
      <c r="E17" s="214" t="s">
        <v>286</v>
      </c>
      <c r="F17" s="217" t="s">
        <v>400</v>
      </c>
      <c r="G17" s="214" t="s">
        <v>397</v>
      </c>
      <c r="H17" s="214" t="s">
        <v>293</v>
      </c>
      <c r="I17" s="217"/>
      <c r="J17" s="217"/>
      <c r="K17" s="217" t="s">
        <v>284</v>
      </c>
      <c r="L17" s="217" t="s">
        <v>9</v>
      </c>
    </row>
    <row r="18" spans="1:12" ht="15.75">
      <c r="A18">
        <v>14</v>
      </c>
      <c r="B18" t="str">
        <f>'PI - PPG'!A10</f>
        <v>EF</v>
      </c>
      <c r="C18" t="str">
        <f>'PI - PPG'!B10</f>
        <v>UFPB/PB</v>
      </c>
      <c r="D18" s="214">
        <v>2012</v>
      </c>
      <c r="E18" s="214" t="s">
        <v>319</v>
      </c>
      <c r="F18" s="217" t="s">
        <v>320</v>
      </c>
      <c r="G18" s="214" t="s">
        <v>321</v>
      </c>
      <c r="H18" s="214" t="s">
        <v>402</v>
      </c>
      <c r="I18" s="217"/>
      <c r="J18" s="217"/>
      <c r="K18" s="217" t="s">
        <v>284</v>
      </c>
      <c r="L18" s="217" t="s">
        <v>10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zoomScale="200" zoomScaleNormal="200" zoomScalePageLayoutView="200" workbookViewId="0" topLeftCell="A1">
      <selection activeCell="E4" sqref="E4"/>
    </sheetView>
  </sheetViews>
  <sheetFormatPr defaultColWidth="11.00390625" defaultRowHeight="15.75"/>
  <cols>
    <col min="1" max="1" width="5.875" style="0" customWidth="1"/>
    <col min="2" max="2" width="4.125" style="0" customWidth="1"/>
    <col min="3" max="3" width="9.125" style="0" customWidth="1"/>
    <col min="4" max="4" width="23.875" style="0" customWidth="1"/>
    <col min="5" max="5" width="23.00390625" style="0" customWidth="1"/>
    <col min="6" max="6" width="23.625" style="0" customWidth="1"/>
    <col min="7" max="7" width="16.125" style="0" customWidth="1"/>
    <col min="8" max="8" width="23.50390625" style="0" customWidth="1"/>
    <col min="9" max="9" width="31.50390625" style="0" customWidth="1"/>
    <col min="10" max="10" width="27.125" style="0" customWidth="1"/>
    <col min="11" max="11" width="29.00390625" style="0" customWidth="1"/>
    <col min="12" max="13" width="19.50390625" style="0" customWidth="1"/>
    <col min="14" max="14" width="30.50390625" style="0" customWidth="1"/>
    <col min="15" max="15" width="30.875" style="0" customWidth="1"/>
    <col min="16" max="16" width="29.125" style="0" customWidth="1"/>
    <col min="17" max="17" width="19.625" style="0" customWidth="1"/>
    <col min="18" max="18" width="24.625" style="0" customWidth="1"/>
  </cols>
  <sheetData>
    <row r="1" spans="4:18" ht="15.75">
      <c r="D1" s="344">
        <v>2010</v>
      </c>
      <c r="E1" s="344"/>
      <c r="F1" s="344"/>
      <c r="G1" s="344"/>
      <c r="H1" s="344"/>
      <c r="I1" s="345">
        <v>2011</v>
      </c>
      <c r="J1" s="345"/>
      <c r="K1" s="345"/>
      <c r="L1" s="345"/>
      <c r="M1" s="345"/>
      <c r="N1" s="343">
        <v>2012</v>
      </c>
      <c r="O1" s="343"/>
      <c r="P1" s="343"/>
      <c r="Q1" s="343"/>
      <c r="R1" s="343"/>
    </row>
    <row r="2" spans="1:18" ht="15.75">
      <c r="A2" t="s">
        <v>137</v>
      </c>
      <c r="B2" t="s">
        <v>196</v>
      </c>
      <c r="C2" t="s">
        <v>193</v>
      </c>
      <c r="D2" s="79" t="s">
        <v>89</v>
      </c>
      <c r="E2" s="79" t="s">
        <v>90</v>
      </c>
      <c r="F2" s="79" t="s">
        <v>110</v>
      </c>
      <c r="G2" s="79" t="s">
        <v>111</v>
      </c>
      <c r="H2" s="79" t="s">
        <v>112</v>
      </c>
      <c r="I2" s="88" t="s">
        <v>89</v>
      </c>
      <c r="J2" s="88" t="s">
        <v>90</v>
      </c>
      <c r="K2" s="88" t="s">
        <v>110</v>
      </c>
      <c r="L2" s="88" t="s">
        <v>111</v>
      </c>
      <c r="M2" s="88" t="s">
        <v>112</v>
      </c>
      <c r="N2" s="79" t="s">
        <v>89</v>
      </c>
      <c r="O2" s="79" t="s">
        <v>90</v>
      </c>
      <c r="P2" s="79" t="s">
        <v>110</v>
      </c>
      <c r="Q2" s="79" t="s">
        <v>111</v>
      </c>
      <c r="R2" s="79" t="s">
        <v>112</v>
      </c>
    </row>
    <row r="3" spans="1:18" ht="15.75">
      <c r="A3">
        <v>1</v>
      </c>
      <c r="B3" t="str">
        <f>'PI - PPG'!A3</f>
        <v>EF</v>
      </c>
      <c r="C3" t="str">
        <f>'PI - PPG'!B3</f>
        <v>UFPB/PB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.75">
      <c r="A4">
        <v>2</v>
      </c>
      <c r="B4" t="str">
        <f>'PI - PPG'!A4</f>
        <v>EF</v>
      </c>
      <c r="C4" t="str">
        <f>'PI - PPG'!B4</f>
        <v>UFPB/PB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5.75">
      <c r="A5">
        <v>3</v>
      </c>
      <c r="B5" t="str">
        <f>'PI - PPG'!A5</f>
        <v>EF</v>
      </c>
      <c r="C5" t="str">
        <f>'PI - PPG'!B5</f>
        <v>UFPB/PB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5.75">
      <c r="A6">
        <v>4</v>
      </c>
      <c r="B6" t="str">
        <f>'PI - PPG'!A6</f>
        <v>EF</v>
      </c>
      <c r="C6" t="str">
        <f>'PI - PPG'!B6</f>
        <v>UPE/PE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5.75">
      <c r="A7">
        <v>5</v>
      </c>
      <c r="B7" t="str">
        <f>'PI - PPG'!A7</f>
        <v>EF</v>
      </c>
      <c r="C7" t="str">
        <f>'PI - PPG'!B7</f>
        <v>UFPB/PB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5.75">
      <c r="A8">
        <v>6</v>
      </c>
      <c r="B8" t="str">
        <f>'PI - PPG'!A8</f>
        <v>EF</v>
      </c>
      <c r="C8" t="str">
        <f>'PI - PPG'!B8</f>
        <v>UPE/PE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.75">
      <c r="A9">
        <v>7</v>
      </c>
      <c r="B9" t="str">
        <f>'PI - PPG'!A9</f>
        <v>EF</v>
      </c>
      <c r="C9" t="str">
        <f>'PI - PPG'!B9</f>
        <v>UFPB/PB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5.75">
      <c r="A10">
        <v>8</v>
      </c>
      <c r="B10" t="str">
        <f>'PI - PPG'!A10</f>
        <v>EF</v>
      </c>
      <c r="C10" t="str">
        <f>'PI - PPG'!B10</f>
        <v>UFPB/PB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5.75">
      <c r="A11">
        <v>9</v>
      </c>
      <c r="B11" t="str">
        <f>'PI - PPG'!A11</f>
        <v>EF</v>
      </c>
      <c r="C11" t="str">
        <f>'PI - PPG'!B11</f>
        <v>UPE/PE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5.75">
      <c r="A12">
        <v>10</v>
      </c>
      <c r="B12" t="str">
        <f>'PI - PPG'!A12</f>
        <v>EF</v>
      </c>
      <c r="C12" t="str">
        <f>'PI - PPG'!B12</f>
        <v>UPE/PE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5.75">
      <c r="A13">
        <v>11</v>
      </c>
      <c r="B13" t="str">
        <f>'PI - PPG'!A13</f>
        <v>EF</v>
      </c>
      <c r="C13" t="str">
        <f>'PI - PPG'!B13</f>
        <v>UPE/PE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5.75">
      <c r="A14">
        <v>12</v>
      </c>
      <c r="B14" t="str">
        <f>'PI - PPG'!A14</f>
        <v>EF</v>
      </c>
      <c r="C14" t="str">
        <f>'PI - PPG'!B14</f>
        <v>UFPB/PB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5.75">
      <c r="A15">
        <v>13</v>
      </c>
      <c r="B15" t="str">
        <f>'PI - PPG'!A15</f>
        <v>EF</v>
      </c>
      <c r="C15" t="str">
        <f>'PI - PPG'!B15</f>
        <v>UFPB/PB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5.75">
      <c r="A16">
        <v>14</v>
      </c>
      <c r="B16" t="str">
        <f>'PI - PPG'!A16</f>
        <v>EF</v>
      </c>
      <c r="C16" t="str">
        <f>'PI - PPG'!B16</f>
        <v>UPE/PE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5.75">
      <c r="A17">
        <v>15</v>
      </c>
      <c r="B17" t="str">
        <f>'PI - PPG'!A17</f>
        <v>EF</v>
      </c>
      <c r="C17" t="str">
        <f>'PI - PPG'!B17</f>
        <v>UPE/PE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5.75">
      <c r="A18">
        <v>16</v>
      </c>
      <c r="B18" t="str">
        <f>'PI - PPG'!A18</f>
        <v>EF</v>
      </c>
      <c r="C18" t="str">
        <f>'PI - PPG'!B18</f>
        <v>UFPB/PB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5.75">
      <c r="A19">
        <v>17</v>
      </c>
      <c r="B19" t="str">
        <f>'PI - PPG'!A19</f>
        <v>EF</v>
      </c>
      <c r="C19" t="str">
        <f>'PI - PPG'!B19</f>
        <v>UPE/PE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5.75">
      <c r="A20">
        <v>18</v>
      </c>
      <c r="B20" t="str">
        <f>'PI - PPG'!A20</f>
        <v>EF</v>
      </c>
      <c r="C20" t="str">
        <f>'PI - PPG'!B20</f>
        <v>UPE/PE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5.75">
      <c r="A21">
        <v>19</v>
      </c>
      <c r="B21" t="str">
        <f>'PI - PPG'!A21</f>
        <v>EF</v>
      </c>
      <c r="C21" t="str">
        <f>'PI - PPG'!B21</f>
        <v>UPE/PE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5.75">
      <c r="A22">
        <v>20</v>
      </c>
      <c r="B22" t="e">
        <f>'PI - PPG'!#REF!</f>
        <v>#REF!</v>
      </c>
      <c r="C22" t="e">
        <f>'PI - PPG'!#REF!</f>
        <v>#REF!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5.75">
      <c r="A23">
        <v>21</v>
      </c>
      <c r="B23" t="e">
        <f>'PI - PPG'!#REF!</f>
        <v>#REF!</v>
      </c>
      <c r="C23" t="e">
        <f>'PI - PPG'!#REF!</f>
        <v>#REF!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5.75">
      <c r="A24">
        <v>22</v>
      </c>
      <c r="B24" t="e">
        <f>'PI - PPG'!#REF!</f>
        <v>#REF!</v>
      </c>
      <c r="C24" t="e">
        <f>'PI - PPG'!#REF!</f>
        <v>#REF!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5.75">
      <c r="A25">
        <v>23</v>
      </c>
      <c r="B25" t="e">
        <f>'PI - PPG'!#REF!</f>
        <v>#REF!</v>
      </c>
      <c r="C25" t="e">
        <f>'PI - PPG'!#REF!</f>
        <v>#REF!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5.75">
      <c r="A26">
        <v>24</v>
      </c>
      <c r="B26" t="e">
        <f>'PI - PPG'!#REF!</f>
        <v>#REF!</v>
      </c>
      <c r="C26" t="e">
        <f>'PI - PPG'!#REF!</f>
        <v>#REF!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5.75">
      <c r="A27">
        <v>25</v>
      </c>
      <c r="B27" t="e">
        <f>'PI - PPG'!#REF!</f>
        <v>#REF!</v>
      </c>
      <c r="C27" t="e">
        <f>'PI - PPG'!#REF!</f>
        <v>#REF!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>
        <v>26</v>
      </c>
      <c r="B28" t="e">
        <f>'PI - PPG'!#REF!</f>
        <v>#REF!</v>
      </c>
      <c r="C28" t="e">
        <f>'PI - PPG'!#REF!</f>
        <v>#REF!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.75">
      <c r="A29">
        <v>27</v>
      </c>
      <c r="B29" t="e">
        <f>'PI - PPG'!#REF!</f>
        <v>#REF!</v>
      </c>
      <c r="C29" t="e">
        <f>'PI - PPG'!#REF!</f>
        <v>#REF!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5.75">
      <c r="A30">
        <v>28</v>
      </c>
      <c r="B30" t="e">
        <f>'PI - PPG'!#REF!</f>
        <v>#REF!</v>
      </c>
      <c r="C30" t="e">
        <f>'PI - PPG'!#REF!</f>
        <v>#REF!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5.75">
      <c r="A31">
        <v>29</v>
      </c>
      <c r="B31" t="e">
        <f>'PI - PPG'!#REF!</f>
        <v>#REF!</v>
      </c>
      <c r="C31" t="e">
        <f>'PI - PPG'!#REF!</f>
        <v>#REF!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.75">
      <c r="A32">
        <v>30</v>
      </c>
      <c r="B32" t="e">
        <f>'PI - PPG'!#REF!</f>
        <v>#REF!</v>
      </c>
      <c r="C32" t="e">
        <f>'PI - PPG'!#REF!</f>
        <v>#REF!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sheetProtection/>
  <mergeCells count="3">
    <mergeCell ref="D1:H1"/>
    <mergeCell ref="N1:R1"/>
    <mergeCell ref="I1:M1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2" sqref="F22"/>
    </sheetView>
  </sheetViews>
  <sheetFormatPr defaultColWidth="11.00390625" defaultRowHeight="15.75"/>
  <cols>
    <col min="1" max="1" width="5.00390625" style="0" customWidth="1"/>
    <col min="2" max="2" width="11.00390625" style="0" customWidth="1"/>
    <col min="3" max="3" width="3.375" style="0" customWidth="1"/>
    <col min="4" max="4" width="32.375" style="0" bestFit="1" customWidth="1"/>
    <col min="5" max="5" width="18.875" style="225" customWidth="1"/>
    <col min="6" max="7" width="18.625" style="0" customWidth="1"/>
    <col min="8" max="8" width="16.125" style="199" customWidth="1"/>
    <col min="9" max="9" width="13.625" style="0" customWidth="1"/>
    <col min="10" max="10" width="15.125" style="0" customWidth="1"/>
    <col min="11" max="11" width="15.50390625" style="0" customWidth="1"/>
    <col min="12" max="12" width="16.00390625" style="0" customWidth="1"/>
    <col min="13" max="13" width="14.375" style="0" customWidth="1"/>
  </cols>
  <sheetData>
    <row r="1" spans="1:13" ht="15.75">
      <c r="A1" t="s">
        <v>196</v>
      </c>
      <c r="B1" t="s">
        <v>193</v>
      </c>
      <c r="C1" t="s">
        <v>195</v>
      </c>
      <c r="D1" t="s">
        <v>197</v>
      </c>
      <c r="E1" s="225" t="s">
        <v>113</v>
      </c>
      <c r="F1" t="s">
        <v>115</v>
      </c>
      <c r="G1" t="s">
        <v>198</v>
      </c>
      <c r="H1" s="199" t="s">
        <v>114</v>
      </c>
      <c r="I1" t="s">
        <v>146</v>
      </c>
      <c r="J1" t="s">
        <v>146</v>
      </c>
      <c r="K1" t="s">
        <v>146</v>
      </c>
      <c r="L1" t="s">
        <v>146</v>
      </c>
      <c r="M1" t="s">
        <v>146</v>
      </c>
    </row>
    <row r="2" spans="1:13" ht="15.75">
      <c r="A2" t="str">
        <f>'OR - PPG'!A5</f>
        <v>EF</v>
      </c>
      <c r="B2" t="str">
        <f>'OR - PPG'!B5</f>
        <v>UFPB/PB</v>
      </c>
      <c r="C2">
        <f>'OR - PPG'!D5</f>
        <v>1</v>
      </c>
      <c r="D2" s="202" t="str">
        <f>'OR - PPG'!E5</f>
        <v>ALEXANDRE SÉRGIO SILVA</v>
      </c>
      <c r="E2" s="226">
        <v>60230800491</v>
      </c>
      <c r="F2" s="202" t="s">
        <v>356</v>
      </c>
      <c r="G2" s="202" t="s">
        <v>357</v>
      </c>
      <c r="H2" s="224" t="s">
        <v>214</v>
      </c>
      <c r="I2" s="202" t="s">
        <v>358</v>
      </c>
      <c r="J2" s="202" t="s">
        <v>359</v>
      </c>
      <c r="K2" s="202" t="s">
        <v>360</v>
      </c>
      <c r="L2" s="202" t="s">
        <v>361</v>
      </c>
      <c r="M2" s="202"/>
    </row>
    <row r="3" spans="1:13" ht="15.75">
      <c r="A3" t="str">
        <f>'OR - PPG'!A6</f>
        <v>EF</v>
      </c>
      <c r="B3" t="str">
        <f>'OR - PPG'!B6</f>
        <v>UFPB/PB</v>
      </c>
      <c r="C3">
        <f>'OR - PPG'!D6</f>
        <v>2</v>
      </c>
      <c r="D3" s="202" t="str">
        <f>'OR - PPG'!E6</f>
        <v>AMILTON DA CRUZ SANTOS</v>
      </c>
      <c r="E3" s="226">
        <v>46705201487</v>
      </c>
      <c r="F3" s="202" t="s">
        <v>362</v>
      </c>
      <c r="G3" s="202" t="s">
        <v>363</v>
      </c>
      <c r="H3" s="224" t="s">
        <v>214</v>
      </c>
      <c r="I3" s="202" t="s">
        <v>364</v>
      </c>
      <c r="J3" s="202" t="s">
        <v>365</v>
      </c>
      <c r="K3" s="202" t="s">
        <v>366</v>
      </c>
      <c r="L3" s="202" t="s">
        <v>367</v>
      </c>
      <c r="M3" s="202"/>
    </row>
    <row r="4" spans="1:13" ht="15.75">
      <c r="A4" t="str">
        <f>'OR - PPG'!A7</f>
        <v>EF</v>
      </c>
      <c r="B4" t="str">
        <f>'OR - PPG'!B7</f>
        <v>UFPB/PB</v>
      </c>
      <c r="C4">
        <f>'OR - PPG'!D7</f>
        <v>3</v>
      </c>
      <c r="D4" s="202" t="str">
        <f>'OR - PPG'!E7</f>
        <v>CAROLINE OLIVEIRA MARTINS</v>
      </c>
      <c r="E4" s="227">
        <v>91014565987</v>
      </c>
      <c r="F4" s="202" t="s">
        <v>368</v>
      </c>
      <c r="G4" s="202"/>
      <c r="H4" s="224" t="s">
        <v>214</v>
      </c>
      <c r="I4" s="202" t="s">
        <v>369</v>
      </c>
      <c r="J4" s="202" t="s">
        <v>370</v>
      </c>
      <c r="K4" s="202" t="s">
        <v>371</v>
      </c>
      <c r="L4" s="202"/>
      <c r="M4" s="202"/>
    </row>
    <row r="5" spans="1:13" ht="15.75">
      <c r="A5" t="str">
        <f>'OR - PPG'!A8</f>
        <v>EF</v>
      </c>
      <c r="B5" t="str">
        <f>'OR - PPG'!B8</f>
        <v>UPE/PE</v>
      </c>
      <c r="C5">
        <f>'OR - PPG'!D8</f>
        <v>4</v>
      </c>
      <c r="D5" s="202" t="str">
        <f>'OR - PPG'!E8</f>
        <v>CLARA M. MONTEIRO S. DE FREITAS</v>
      </c>
      <c r="E5" s="226" t="s">
        <v>388</v>
      </c>
      <c r="F5" s="202" t="s">
        <v>278</v>
      </c>
      <c r="G5" s="202"/>
      <c r="H5" s="203" t="s">
        <v>214</v>
      </c>
      <c r="I5" s="202" t="s">
        <v>279</v>
      </c>
      <c r="J5" s="202" t="s">
        <v>280</v>
      </c>
      <c r="K5" s="202" t="s">
        <v>281</v>
      </c>
      <c r="L5" s="202"/>
      <c r="M5" s="202"/>
    </row>
    <row r="6" spans="1:13" ht="15.75">
      <c r="A6" t="str">
        <f>'OR - PPG'!A9</f>
        <v>EF</v>
      </c>
      <c r="B6" t="str">
        <f>'OR - PPG'!B9</f>
        <v>UFPB/PB</v>
      </c>
      <c r="C6">
        <f>'OR - PPG'!D9</f>
        <v>5</v>
      </c>
      <c r="D6" s="202" t="str">
        <f>'OR - PPG'!E9</f>
        <v>DANIELA KARINA DA SILVA</v>
      </c>
      <c r="E6" s="226">
        <v>93576790497</v>
      </c>
      <c r="F6" s="202" t="s">
        <v>372</v>
      </c>
      <c r="G6" s="202"/>
      <c r="H6" s="224" t="s">
        <v>214</v>
      </c>
      <c r="I6" s="202" t="s">
        <v>373</v>
      </c>
      <c r="J6" s="202" t="s">
        <v>365</v>
      </c>
      <c r="K6" s="202"/>
      <c r="L6" s="202"/>
      <c r="M6" s="202"/>
    </row>
    <row r="7" spans="1:13" ht="15.75">
      <c r="A7" t="str">
        <f>'OR - PPG'!A10</f>
        <v>EF</v>
      </c>
      <c r="B7" t="str">
        <f>'OR - PPG'!B10</f>
        <v>UPE/PE</v>
      </c>
      <c r="C7">
        <f>'OR - PPG'!D10</f>
        <v>6</v>
      </c>
      <c r="D7" s="202" t="str">
        <f>'OR - PPG'!E10</f>
        <v>FERNANDO J. DE SÁ P. GUIMARÃES</v>
      </c>
      <c r="E7" s="226" t="s">
        <v>391</v>
      </c>
      <c r="F7" s="202" t="s">
        <v>392</v>
      </c>
      <c r="G7" s="202"/>
      <c r="H7" s="203" t="s">
        <v>214</v>
      </c>
      <c r="I7" s="202" t="s">
        <v>353</v>
      </c>
      <c r="J7" s="202" t="s">
        <v>354</v>
      </c>
      <c r="K7" s="202" t="s">
        <v>393</v>
      </c>
      <c r="L7" s="202" t="s">
        <v>260</v>
      </c>
      <c r="M7" s="202"/>
    </row>
    <row r="8" spans="1:13" ht="15.75">
      <c r="A8" t="str">
        <f>'OR - PPG'!A11</f>
        <v>EF</v>
      </c>
      <c r="B8" t="str">
        <f>'OR - PPG'!B11</f>
        <v>UFPB/PB</v>
      </c>
      <c r="C8">
        <f>'OR - PPG'!D11</f>
        <v>7</v>
      </c>
      <c r="D8" s="202" t="str">
        <f>'OR - PPG'!E11</f>
        <v>IRAQUITAN DE OLIVEIRA CAMINHA</v>
      </c>
      <c r="E8" s="226">
        <v>36073385404</v>
      </c>
      <c r="F8" s="202" t="s">
        <v>342</v>
      </c>
      <c r="G8" s="202"/>
      <c r="H8" s="228" t="s">
        <v>214</v>
      </c>
      <c r="I8" s="202" t="s">
        <v>343</v>
      </c>
      <c r="J8" s="202" t="s">
        <v>344</v>
      </c>
      <c r="K8" s="202" t="s">
        <v>345</v>
      </c>
      <c r="L8" s="202" t="s">
        <v>346</v>
      </c>
      <c r="M8" s="202"/>
    </row>
    <row r="9" spans="1:13" ht="15.75">
      <c r="A9" t="str">
        <f>'OR - PPG'!A12</f>
        <v>EF</v>
      </c>
      <c r="B9" t="str">
        <f>'OR - PPG'!B12</f>
        <v>UFPB/PB</v>
      </c>
      <c r="C9">
        <f>'OR - PPG'!D12</f>
        <v>8</v>
      </c>
      <c r="D9" s="202" t="str">
        <f>'OR - PPG'!E12</f>
        <v>JOSÉ CAZUZA DE FARIAS JÚNIOR</v>
      </c>
      <c r="E9" s="226">
        <v>88006344434</v>
      </c>
      <c r="F9" s="202" t="s">
        <v>374</v>
      </c>
      <c r="G9" s="202" t="s">
        <v>375</v>
      </c>
      <c r="H9" s="224" t="s">
        <v>214</v>
      </c>
      <c r="I9" s="202" t="s">
        <v>376</v>
      </c>
      <c r="J9" s="202" t="s">
        <v>365</v>
      </c>
      <c r="K9" s="202" t="s">
        <v>377</v>
      </c>
      <c r="L9" s="202" t="s">
        <v>378</v>
      </c>
      <c r="M9" s="202"/>
    </row>
    <row r="10" spans="1:13" ht="15.75">
      <c r="A10" t="str">
        <f>'OR - PPG'!A13</f>
        <v>EF</v>
      </c>
      <c r="B10" t="str">
        <f>'OR - PPG'!B13</f>
        <v>UPE/PE</v>
      </c>
      <c r="C10">
        <f>'OR - PPG'!D13</f>
        <v>9</v>
      </c>
      <c r="D10" s="202" t="str">
        <f>'OR - PPG'!E13</f>
        <v>MANOEL DA CUNHA COSTA</v>
      </c>
      <c r="E10" s="226">
        <v>33440581420</v>
      </c>
      <c r="F10" s="202" t="s">
        <v>300</v>
      </c>
      <c r="G10" s="202" t="s">
        <v>301</v>
      </c>
      <c r="H10" s="203" t="s">
        <v>214</v>
      </c>
      <c r="I10" s="202" t="s">
        <v>302</v>
      </c>
      <c r="J10" s="202" t="s">
        <v>303</v>
      </c>
      <c r="K10" s="202" t="s">
        <v>304</v>
      </c>
      <c r="L10" s="202"/>
      <c r="M10" s="202"/>
    </row>
    <row r="11" spans="1:13" ht="15.75">
      <c r="A11" t="str">
        <f>'OR - PPG'!A14</f>
        <v>EF</v>
      </c>
      <c r="B11" t="str">
        <f>'OR - PPG'!B14</f>
        <v>UPE/PE</v>
      </c>
      <c r="C11">
        <f>'OR - PPG'!D14</f>
        <v>10</v>
      </c>
      <c r="D11" s="202" t="str">
        <f>'OR - PPG'!E14</f>
        <v>MARCELO SOARES T. DE MELO</v>
      </c>
      <c r="E11" s="226">
        <v>18050441415</v>
      </c>
      <c r="F11" s="202" t="s">
        <v>245</v>
      </c>
      <c r="G11" s="202" t="s">
        <v>246</v>
      </c>
      <c r="H11" s="203" t="s">
        <v>214</v>
      </c>
      <c r="I11" s="202" t="s">
        <v>247</v>
      </c>
      <c r="J11" s="202" t="s">
        <v>248</v>
      </c>
      <c r="K11" s="202"/>
      <c r="L11" s="202"/>
      <c r="M11" s="202"/>
    </row>
    <row r="12" spans="1:13" ht="15.75">
      <c r="A12" t="str">
        <f>'OR - PPG'!A15</f>
        <v>EF</v>
      </c>
      <c r="B12" t="str">
        <f>'OR - PPG'!B15</f>
        <v>UPE/PE</v>
      </c>
      <c r="C12">
        <f>'OR - PPG'!D15</f>
        <v>11</v>
      </c>
      <c r="D12" s="202" t="str">
        <f>'OR - PPG'!E15</f>
        <v>MARCÍLIO B. M. DE SOUZA JÚNIOR</v>
      </c>
      <c r="E12" s="226">
        <v>68544936415</v>
      </c>
      <c r="F12" s="202" t="s">
        <v>253</v>
      </c>
      <c r="G12" s="202" t="s">
        <v>254</v>
      </c>
      <c r="H12" s="203" t="s">
        <v>214</v>
      </c>
      <c r="I12" s="202" t="s">
        <v>247</v>
      </c>
      <c r="J12" s="202" t="s">
        <v>248</v>
      </c>
      <c r="K12" s="202"/>
      <c r="L12" s="202"/>
      <c r="M12" s="202"/>
    </row>
    <row r="13" spans="1:13" ht="15.75">
      <c r="A13" t="str">
        <f>'OR - PPG'!A16</f>
        <v>EF</v>
      </c>
      <c r="B13" t="str">
        <f>'OR - PPG'!B16</f>
        <v>UFPB/PB</v>
      </c>
      <c r="C13">
        <f>'OR - PPG'!D16</f>
        <v>12</v>
      </c>
      <c r="D13" s="202" t="str">
        <f>'OR - PPG'!E16</f>
        <v>MARIA S. BRASILEIRO SANTOS</v>
      </c>
      <c r="E13" s="226" t="s">
        <v>389</v>
      </c>
      <c r="F13" s="202" t="s">
        <v>379</v>
      </c>
      <c r="G13" s="202" t="s">
        <v>380</v>
      </c>
      <c r="H13" s="224" t="s">
        <v>214</v>
      </c>
      <c r="I13" s="202" t="s">
        <v>364</v>
      </c>
      <c r="J13" s="202" t="s">
        <v>365</v>
      </c>
      <c r="K13" s="202" t="s">
        <v>366</v>
      </c>
      <c r="L13" s="202" t="s">
        <v>381</v>
      </c>
      <c r="M13" s="202"/>
    </row>
    <row r="14" spans="1:13" ht="15.75">
      <c r="A14" t="str">
        <f>'OR - PPG'!A17</f>
        <v>EF</v>
      </c>
      <c r="B14" t="str">
        <f>'OR - PPG'!B17</f>
        <v>UFPB/PB</v>
      </c>
      <c r="C14">
        <f>'OR - PPG'!D17</f>
        <v>13</v>
      </c>
      <c r="D14" s="202" t="str">
        <f>'OR - PPG'!E17</f>
        <v>MARIA S. CIRILO DE SOUZA</v>
      </c>
      <c r="E14" s="226">
        <v>27231798420</v>
      </c>
      <c r="F14" s="202" t="s">
        <v>352</v>
      </c>
      <c r="G14" s="202"/>
      <c r="H14" s="228" t="s">
        <v>214</v>
      </c>
      <c r="I14" s="202" t="s">
        <v>353</v>
      </c>
      <c r="J14" s="202" t="s">
        <v>354</v>
      </c>
      <c r="K14" s="202" t="s">
        <v>355</v>
      </c>
      <c r="L14" s="202"/>
      <c r="M14" s="202"/>
    </row>
    <row r="15" spans="1:13" ht="15.75">
      <c r="A15" t="str">
        <f>'OR - PPG'!A18</f>
        <v>EF</v>
      </c>
      <c r="B15" t="str">
        <f>'OR - PPG'!B18</f>
        <v>UPE/PE</v>
      </c>
      <c r="C15">
        <f>'OR - PPG'!D18</f>
        <v>14</v>
      </c>
      <c r="D15" s="202" t="str">
        <f>'OR - PPG'!E18</f>
        <v>MARIA TERESA CATTUZZO</v>
      </c>
      <c r="E15" s="226">
        <v>11554589827</v>
      </c>
      <c r="F15" s="202" t="s">
        <v>240</v>
      </c>
      <c r="G15" s="202"/>
      <c r="H15" s="203" t="s">
        <v>214</v>
      </c>
      <c r="I15" s="202" t="s">
        <v>242</v>
      </c>
      <c r="J15" s="202" t="s">
        <v>241</v>
      </c>
      <c r="K15" s="202" t="s">
        <v>243</v>
      </c>
      <c r="L15" s="202" t="s">
        <v>244</v>
      </c>
      <c r="M15" s="202"/>
    </row>
    <row r="16" spans="1:13" ht="15.75">
      <c r="A16" t="str">
        <f>'OR - PPG'!A19</f>
        <v>EF</v>
      </c>
      <c r="B16" t="str">
        <f>'OR - PPG'!B19</f>
        <v>UPE/PE</v>
      </c>
      <c r="C16">
        <f>'OR - PPG'!D19</f>
        <v>15</v>
      </c>
      <c r="D16" s="202" t="str">
        <f>'OR - PPG'!E19</f>
        <v>MAURO VIRGILIO GOMES DE BARROS</v>
      </c>
      <c r="E16" s="226">
        <v>65271475468</v>
      </c>
      <c r="F16" s="202" t="s">
        <v>382</v>
      </c>
      <c r="G16" s="202" t="s">
        <v>383</v>
      </c>
      <c r="H16" s="203" t="s">
        <v>214</v>
      </c>
      <c r="I16" s="202" t="s">
        <v>384</v>
      </c>
      <c r="J16" s="202" t="s">
        <v>385</v>
      </c>
      <c r="K16" s="202" t="s">
        <v>386</v>
      </c>
      <c r="L16" s="202" t="s">
        <v>387</v>
      </c>
      <c r="M16" s="202"/>
    </row>
    <row r="17" spans="1:13" ht="15.75">
      <c r="A17" t="str">
        <f>'OR - PPG'!A20</f>
        <v>EF</v>
      </c>
      <c r="B17" t="str">
        <f>'OR - PPG'!B20</f>
        <v>UFPB/PB</v>
      </c>
      <c r="C17">
        <f>'OR - PPG'!D20</f>
        <v>16</v>
      </c>
      <c r="D17" s="202" t="str">
        <f>'OR - PPG'!E20</f>
        <v>PIERRE N. GOMES DA SILVA</v>
      </c>
      <c r="E17" s="226">
        <v>61926515404</v>
      </c>
      <c r="F17" s="202" t="s">
        <v>347</v>
      </c>
      <c r="G17" s="202"/>
      <c r="H17" s="228" t="s">
        <v>214</v>
      </c>
      <c r="I17" s="223" t="s">
        <v>348</v>
      </c>
      <c r="J17" s="223" t="s">
        <v>349</v>
      </c>
      <c r="K17" s="223" t="s">
        <v>350</v>
      </c>
      <c r="L17" s="202" t="s">
        <v>351</v>
      </c>
      <c r="M17" s="202"/>
    </row>
    <row r="18" spans="1:13" ht="15.75">
      <c r="A18" t="str">
        <f>'OR - PPG'!A21</f>
        <v>EF</v>
      </c>
      <c r="B18" t="str">
        <f>'OR - PPG'!B21</f>
        <v>UPE/PE</v>
      </c>
      <c r="C18">
        <f>'OR - PPG'!D21</f>
        <v>17</v>
      </c>
      <c r="D18" s="202" t="str">
        <f>'OR - PPG'!E21</f>
        <v>RAPHAEL MENDES RITTI DIAS</v>
      </c>
      <c r="E18" s="226">
        <v>30249778807</v>
      </c>
      <c r="F18" s="202" t="s">
        <v>249</v>
      </c>
      <c r="G18" s="202" t="s">
        <v>250</v>
      </c>
      <c r="H18" s="203" t="s">
        <v>214</v>
      </c>
      <c r="I18" s="202" t="s">
        <v>295</v>
      </c>
      <c r="J18" s="202" t="s">
        <v>251</v>
      </c>
      <c r="K18" s="202" t="s">
        <v>252</v>
      </c>
      <c r="L18" s="202"/>
      <c r="M18" s="202"/>
    </row>
    <row r="19" spans="1:13" ht="15.75">
      <c r="A19" t="str">
        <f>'OR - PPG'!A22</f>
        <v>EF</v>
      </c>
      <c r="B19" t="str">
        <f>'OR - PPG'!B22</f>
        <v>UPE/PE</v>
      </c>
      <c r="C19">
        <f>'OR - PPG'!D22</f>
        <v>18</v>
      </c>
      <c r="D19" s="202" t="str">
        <f>'OR - PPG'!E22</f>
        <v>RODRIGO CAPPATO DE ARAÚJO</v>
      </c>
      <c r="E19" s="226" t="s">
        <v>390</v>
      </c>
      <c r="F19" s="202" t="s">
        <v>257</v>
      </c>
      <c r="G19" s="202" t="s">
        <v>258</v>
      </c>
      <c r="H19" s="203" t="s">
        <v>259</v>
      </c>
      <c r="I19" s="202" t="s">
        <v>260</v>
      </c>
      <c r="J19" s="202" t="s">
        <v>261</v>
      </c>
      <c r="K19" s="202"/>
      <c r="L19" s="202"/>
      <c r="M19" s="202"/>
    </row>
    <row r="20" spans="1:13" ht="15.75">
      <c r="A20" t="str">
        <f>'OR - PPG'!A23</f>
        <v>EF</v>
      </c>
      <c r="B20" t="str">
        <f>'OR - PPG'!B23</f>
        <v>UPE/PE</v>
      </c>
      <c r="C20">
        <f>'OR - PPG'!D23</f>
        <v>19</v>
      </c>
      <c r="D20" s="202" t="str">
        <f>'OR - PPG'!E23</f>
        <v>WAGNER LUIZ DO PRADO</v>
      </c>
      <c r="E20" s="229">
        <v>28196602820</v>
      </c>
      <c r="F20" s="202" t="s">
        <v>299</v>
      </c>
      <c r="G20" s="202" t="s">
        <v>294</v>
      </c>
      <c r="H20" s="203" t="s">
        <v>214</v>
      </c>
      <c r="I20" s="202" t="s">
        <v>295</v>
      </c>
      <c r="J20" s="202" t="s">
        <v>296</v>
      </c>
      <c r="K20" s="202" t="s">
        <v>297</v>
      </c>
      <c r="L20" s="202" t="s">
        <v>298</v>
      </c>
      <c r="M20" s="202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Rodacki</dc:creator>
  <cp:keywords/>
  <dc:description/>
  <cp:lastModifiedBy>Raphael Ritti</cp:lastModifiedBy>
  <dcterms:created xsi:type="dcterms:W3CDTF">2012-04-24T13:44:07Z</dcterms:created>
  <dcterms:modified xsi:type="dcterms:W3CDTF">2012-11-07T11:48:35Z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